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90" yWindow="615" windowWidth="13995" windowHeight="14820" tabRatio="813" activeTab="8"/>
  </bookViews>
  <sheets>
    <sheet name="анализ продуктов" sheetId="9" r:id="rId1"/>
    <sheet name="от продуктов" sheetId="1" r:id="rId2"/>
    <sheet name="расчет по учреждениям" sheetId="4" r:id="rId3"/>
    <sheet name="присмотр МДОО" sheetId="5" r:id="rId4"/>
    <sheet name="присмотр гр КВП" sheetId="3" r:id="rId5"/>
    <sheet name="кр-вр преб по учрежд" sheetId="6" r:id="rId6"/>
    <sheet name="Анализ 2021 г." sheetId="7" state="hidden" r:id="rId7"/>
    <sheet name="от индекса" sheetId="2" state="hidden" r:id="rId8"/>
    <sheet name="Анализ 2024" sheetId="8" r:id="rId9"/>
  </sheets>
  <definedNames>
    <definedName name="_xlnm.Print_Area" localSheetId="6">'Анализ 2021 г.'!$A$1:$O$40</definedName>
    <definedName name="_xlnm.Print_Area" localSheetId="8">'Анализ 2024'!$A$4:$AK$46</definedName>
    <definedName name="_xlnm.Print_Area" localSheetId="7">'от индекса'!$A$2:$M$42</definedName>
    <definedName name="_xlnm.Print_Area" localSheetId="3">'присмотр МДОО'!$A$1:$J$88</definedName>
    <definedName name="_xlnm.Print_Area" localSheetId="2">'расчет по учреждениям'!$A$1:$U$99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5" i="9" l="1"/>
  <c r="H57" i="5" l="1"/>
  <c r="C77" i="5"/>
  <c r="E21" i="3" l="1"/>
  <c r="F21" i="3" s="1"/>
  <c r="H21" i="3" s="1"/>
  <c r="J14" i="3"/>
  <c r="W35" i="8"/>
  <c r="U39" i="8" l="1"/>
  <c r="U38" i="8"/>
  <c r="V38" i="8"/>
  <c r="V39" i="8"/>
  <c r="U40" i="8"/>
  <c r="V40" i="8"/>
  <c r="U41" i="8"/>
  <c r="V41" i="8"/>
  <c r="U42" i="8"/>
  <c r="V42" i="8"/>
  <c r="U43" i="8"/>
  <c r="V43" i="8"/>
  <c r="U44" i="8"/>
  <c r="V44" i="8"/>
  <c r="U45" i="8"/>
  <c r="V45" i="8"/>
  <c r="V37" i="8"/>
  <c r="U37" i="8"/>
  <c r="O35" i="8"/>
  <c r="N35" i="8"/>
  <c r="M35" i="8"/>
  <c r="K10" i="8"/>
  <c r="C45" i="8"/>
  <c r="D45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N10" i="8"/>
  <c r="M10" i="8"/>
  <c r="C78" i="5" l="1"/>
  <c r="C86" i="5"/>
  <c r="L10" i="8" l="1"/>
  <c r="L16" i="8"/>
  <c r="K16" i="8"/>
  <c r="J13" i="8"/>
  <c r="L13" i="8" s="1"/>
  <c r="C16" i="1" l="1"/>
  <c r="C16" i="9"/>
  <c r="AA40" i="8"/>
  <c r="X38" i="8"/>
  <c r="X39" i="8"/>
  <c r="X40" i="8"/>
  <c r="X41" i="8"/>
  <c r="X42" i="8"/>
  <c r="X43" i="8"/>
  <c r="X44" i="8"/>
  <c r="W45" i="8"/>
  <c r="X45" i="8"/>
  <c r="O45" i="8"/>
  <c r="P45" i="8"/>
  <c r="F57" i="5" l="1"/>
  <c r="AC11" i="8" l="1"/>
  <c r="AE11" i="8" s="1"/>
  <c r="AD11" i="8"/>
  <c r="AF11" i="8" s="1"/>
  <c r="AC12" i="8"/>
  <c r="AE12" i="8" s="1"/>
  <c r="AD12" i="8"/>
  <c r="AF12" i="8" s="1"/>
  <c r="AC13" i="8"/>
  <c r="AE13" i="8" s="1"/>
  <c r="AD13" i="8"/>
  <c r="AF13" i="8" s="1"/>
  <c r="AC14" i="8"/>
  <c r="AE14" i="8" s="1"/>
  <c r="AD14" i="8"/>
  <c r="AF14" i="8" s="1"/>
  <c r="AC15" i="8"/>
  <c r="AE15" i="8" s="1"/>
  <c r="AD15" i="8"/>
  <c r="AF15" i="8" s="1"/>
  <c r="AC16" i="8"/>
  <c r="AE16" i="8" s="1"/>
  <c r="AD16" i="8"/>
  <c r="AF16" i="8" s="1"/>
  <c r="AC17" i="8"/>
  <c r="AE17" i="8" s="1"/>
  <c r="AD17" i="8"/>
  <c r="AF17" i="8" s="1"/>
  <c r="AC18" i="8"/>
  <c r="AE18" i="8" s="1"/>
  <c r="AD18" i="8"/>
  <c r="AF18" i="8" s="1"/>
  <c r="AC19" i="8"/>
  <c r="AE19" i="8" s="1"/>
  <c r="AD19" i="8"/>
  <c r="AF19" i="8" s="1"/>
  <c r="AC20" i="8"/>
  <c r="AE20" i="8" s="1"/>
  <c r="AD20" i="8"/>
  <c r="AF20" i="8" s="1"/>
  <c r="AC21" i="8"/>
  <c r="AE21" i="8" s="1"/>
  <c r="AD21" i="8"/>
  <c r="AF21" i="8" s="1"/>
  <c r="AC22" i="8"/>
  <c r="AE22" i="8" s="1"/>
  <c r="AD22" i="8"/>
  <c r="AF22" i="8" s="1"/>
  <c r="AC23" i="8"/>
  <c r="AE23" i="8" s="1"/>
  <c r="AD23" i="8"/>
  <c r="AF23" i="8" s="1"/>
  <c r="AC24" i="8"/>
  <c r="AE24" i="8" s="1"/>
  <c r="AD24" i="8"/>
  <c r="AF24" i="8" s="1"/>
  <c r="AC25" i="8"/>
  <c r="AE25" i="8" s="1"/>
  <c r="AD25" i="8"/>
  <c r="AF25" i="8" s="1"/>
  <c r="AC26" i="8"/>
  <c r="AE26" i="8" s="1"/>
  <c r="AD26" i="8"/>
  <c r="AF26" i="8" s="1"/>
  <c r="AC27" i="8"/>
  <c r="AE27" i="8" s="1"/>
  <c r="AD27" i="8"/>
  <c r="AF27" i="8" s="1"/>
  <c r="AC28" i="8"/>
  <c r="AE28" i="8" s="1"/>
  <c r="AD28" i="8"/>
  <c r="AF28" i="8" s="1"/>
  <c r="AC29" i="8"/>
  <c r="AE29" i="8" s="1"/>
  <c r="AD29" i="8"/>
  <c r="AF29" i="8" s="1"/>
  <c r="AC30" i="8"/>
  <c r="AE30" i="8" s="1"/>
  <c r="AD30" i="8"/>
  <c r="AF30" i="8" s="1"/>
  <c r="AC31" i="8"/>
  <c r="AE31" i="8" s="1"/>
  <c r="AD31" i="8"/>
  <c r="AF31" i="8" s="1"/>
  <c r="AC32" i="8"/>
  <c r="AE32" i="8" s="1"/>
  <c r="AD32" i="8"/>
  <c r="AF32" i="8" s="1"/>
  <c r="AC33" i="8"/>
  <c r="AE33" i="8" s="1"/>
  <c r="AD33" i="8"/>
  <c r="AF33" i="8" s="1"/>
  <c r="AC34" i="8"/>
  <c r="AE34" i="8" s="1"/>
  <c r="AD34" i="8"/>
  <c r="AF34" i="8" s="1"/>
  <c r="AC36" i="8"/>
  <c r="AE36" i="8" s="1"/>
  <c r="AD36" i="8"/>
  <c r="AF36" i="8" s="1"/>
  <c r="AC37" i="8"/>
  <c r="AE37" i="8" s="1"/>
  <c r="AD37" i="8"/>
  <c r="AF37" i="8" s="1"/>
  <c r="AC38" i="8"/>
  <c r="AE38" i="8" s="1"/>
  <c r="AD38" i="8"/>
  <c r="AF38" i="8" s="1"/>
  <c r="AC39" i="8"/>
  <c r="AE39" i="8" s="1"/>
  <c r="AD39" i="8"/>
  <c r="AF39" i="8" s="1"/>
  <c r="AC40" i="8"/>
  <c r="AE40" i="8" s="1"/>
  <c r="AD40" i="8"/>
  <c r="AF40" i="8" s="1"/>
  <c r="AC41" i="8"/>
  <c r="AE41" i="8" s="1"/>
  <c r="AD41" i="8"/>
  <c r="AF41" i="8" s="1"/>
  <c r="AC42" i="8"/>
  <c r="AE42" i="8" s="1"/>
  <c r="AD42" i="8"/>
  <c r="AF42" i="8" s="1"/>
  <c r="AC43" i="8"/>
  <c r="AE43" i="8" s="1"/>
  <c r="AD43" i="8"/>
  <c r="AF43" i="8" s="1"/>
  <c r="AC44" i="8"/>
  <c r="AE44" i="8" s="1"/>
  <c r="AD44" i="8"/>
  <c r="AF44" i="8" s="1"/>
  <c r="AD10" i="8"/>
  <c r="AH10" i="8" s="1"/>
  <c r="AC10" i="8"/>
  <c r="AA37" i="8"/>
  <c r="AB37" i="8"/>
  <c r="AA38" i="8"/>
  <c r="AB38" i="8"/>
  <c r="AA39" i="8"/>
  <c r="AB39" i="8"/>
  <c r="AB40" i="8"/>
  <c r="AA41" i="8"/>
  <c r="AB41" i="8"/>
  <c r="AA42" i="8"/>
  <c r="AB42" i="8"/>
  <c r="AA43" i="8"/>
  <c r="AB43" i="8"/>
  <c r="AA44" i="8"/>
  <c r="AB44" i="8"/>
  <c r="X30" i="8"/>
  <c r="X33" i="8"/>
  <c r="X29" i="8"/>
  <c r="X28" i="8"/>
  <c r="X27" i="8"/>
  <c r="X26" i="8"/>
  <c r="X25" i="8"/>
  <c r="X24" i="8"/>
  <c r="X22" i="8"/>
  <c r="X21" i="8"/>
  <c r="X20" i="8"/>
  <c r="X16" i="8"/>
  <c r="X15" i="8"/>
  <c r="X14" i="8"/>
  <c r="X13" i="8"/>
  <c r="X12" i="8"/>
  <c r="X11" i="8"/>
  <c r="X10" i="8"/>
  <c r="P35" i="8"/>
  <c r="AA45" i="8" l="1"/>
  <c r="AC35" i="8"/>
  <c r="AE10" i="8"/>
  <c r="AE35" i="8" s="1"/>
  <c r="AF45" i="8"/>
  <c r="AE45" i="8"/>
  <c r="AD45" i="8"/>
  <c r="AH44" i="8"/>
  <c r="AH43" i="8"/>
  <c r="AH42" i="8"/>
  <c r="AH41" i="8"/>
  <c r="AH40" i="8"/>
  <c r="AH39" i="8"/>
  <c r="AH38" i="8"/>
  <c r="AH37" i="8"/>
  <c r="AH36" i="8"/>
  <c r="AH34" i="8"/>
  <c r="AH33" i="8"/>
  <c r="AH32" i="8"/>
  <c r="AH31" i="8"/>
  <c r="AH30" i="8"/>
  <c r="AH29" i="8"/>
  <c r="AH28" i="8"/>
  <c r="AH27" i="8"/>
  <c r="AH26" i="8"/>
  <c r="AH25" i="8"/>
  <c r="AH24" i="8"/>
  <c r="AH23" i="8"/>
  <c r="AH22" i="8"/>
  <c r="AH21" i="8"/>
  <c r="AH20" i="8"/>
  <c r="AH19" i="8"/>
  <c r="AH18" i="8"/>
  <c r="AH17" i="8"/>
  <c r="AH16" i="8"/>
  <c r="AH15" i="8"/>
  <c r="AH14" i="8"/>
  <c r="AH13" i="8"/>
  <c r="AH12" i="8"/>
  <c r="AH11" i="8"/>
  <c r="AC45" i="8"/>
  <c r="AF10" i="8"/>
  <c r="AF35" i="8" s="1"/>
  <c r="AG44" i="8"/>
  <c r="AG43" i="8"/>
  <c r="AG42" i="8"/>
  <c r="AG41" i="8"/>
  <c r="AG40" i="8"/>
  <c r="AG39" i="8"/>
  <c r="AG38" i="8"/>
  <c r="AG37" i="8"/>
  <c r="AG36" i="8"/>
  <c r="AG34" i="8"/>
  <c r="AG33" i="8"/>
  <c r="AG32" i="8"/>
  <c r="AG31" i="8"/>
  <c r="AG30" i="8"/>
  <c r="AG29" i="8"/>
  <c r="AG28" i="8"/>
  <c r="AG27" i="8"/>
  <c r="AG26" i="8"/>
  <c r="AG25" i="8"/>
  <c r="AG24" i="8"/>
  <c r="AG23" i="8"/>
  <c r="AG22" i="8"/>
  <c r="AG21" i="8"/>
  <c r="AG20" i="8"/>
  <c r="AG19" i="8"/>
  <c r="AG18" i="8"/>
  <c r="AG17" i="8"/>
  <c r="AG16" i="8"/>
  <c r="AG15" i="8"/>
  <c r="AG14" i="8"/>
  <c r="AG13" i="8"/>
  <c r="AG12" i="8"/>
  <c r="AG11" i="8"/>
  <c r="AD35" i="8"/>
  <c r="AG10" i="8"/>
  <c r="AB45" i="8"/>
  <c r="X32" i="8"/>
  <c r="X31" i="8"/>
  <c r="X23" i="8"/>
  <c r="X17" i="8"/>
  <c r="X34" i="8"/>
  <c r="AH35" i="8" l="1"/>
  <c r="AG35" i="8"/>
  <c r="AH45" i="8"/>
  <c r="AG45" i="8"/>
  <c r="X35" i="8"/>
  <c r="K36" i="9" l="1"/>
  <c r="L7" i="9"/>
  <c r="M7" i="9"/>
  <c r="L8" i="9"/>
  <c r="M8" i="9"/>
  <c r="L9" i="9"/>
  <c r="M9" i="9"/>
  <c r="L10" i="9"/>
  <c r="M10" i="9"/>
  <c r="L11" i="9"/>
  <c r="M11" i="9"/>
  <c r="L15" i="9"/>
  <c r="M15" i="9"/>
  <c r="M20" i="9"/>
  <c r="L21" i="9"/>
  <c r="M21" i="9"/>
  <c r="L22" i="9"/>
  <c r="M22" i="9"/>
  <c r="L25" i="9"/>
  <c r="M25" i="9"/>
  <c r="L26" i="9"/>
  <c r="M26" i="9"/>
  <c r="L27" i="9"/>
  <c r="M27" i="9"/>
  <c r="L28" i="9"/>
  <c r="M28" i="9"/>
  <c r="L29" i="9"/>
  <c r="M29" i="9"/>
  <c r="L32" i="9"/>
  <c r="M32" i="9"/>
  <c r="M35" i="9"/>
  <c r="I35" i="9" l="1"/>
  <c r="H35" i="9"/>
  <c r="C34" i="9"/>
  <c r="I33" i="9"/>
  <c r="H33" i="9"/>
  <c r="C33" i="9"/>
  <c r="I32" i="9"/>
  <c r="H32" i="9"/>
  <c r="I31" i="9"/>
  <c r="C31" i="9"/>
  <c r="C30" i="9"/>
  <c r="I29" i="9"/>
  <c r="H29" i="9"/>
  <c r="I28" i="9"/>
  <c r="H28" i="9"/>
  <c r="I27" i="9"/>
  <c r="H27" i="9"/>
  <c r="I26" i="9"/>
  <c r="H26" i="9"/>
  <c r="I25" i="9"/>
  <c r="H25" i="9"/>
  <c r="C24" i="9"/>
  <c r="C23" i="9"/>
  <c r="I23" i="9" s="1"/>
  <c r="I22" i="9"/>
  <c r="H22" i="9"/>
  <c r="I21" i="9"/>
  <c r="H21" i="9"/>
  <c r="H20" i="9"/>
  <c r="C19" i="9"/>
  <c r="I19" i="9" s="1"/>
  <c r="C18" i="9"/>
  <c r="C17" i="9"/>
  <c r="I16" i="9"/>
  <c r="I15" i="9"/>
  <c r="H15" i="9"/>
  <c r="H14" i="9"/>
  <c r="C14" i="9"/>
  <c r="C13" i="9"/>
  <c r="C12" i="9"/>
  <c r="I12" i="9" s="1"/>
  <c r="I11" i="9"/>
  <c r="H11" i="9"/>
  <c r="I10" i="9"/>
  <c r="H10" i="9"/>
  <c r="I9" i="9"/>
  <c r="H9" i="9"/>
  <c r="I8" i="9"/>
  <c r="H8" i="9"/>
  <c r="I7" i="9"/>
  <c r="H7" i="9"/>
  <c r="C6" i="9"/>
  <c r="H12" i="9" l="1"/>
  <c r="H23" i="9"/>
  <c r="H19" i="9"/>
  <c r="H13" i="9"/>
  <c r="L13" i="9"/>
  <c r="M13" i="9"/>
  <c r="H24" i="9"/>
  <c r="L24" i="9"/>
  <c r="M24" i="9"/>
  <c r="L30" i="9"/>
  <c r="M30" i="9"/>
  <c r="H6" i="9"/>
  <c r="C36" i="9"/>
  <c r="M6" i="9"/>
  <c r="L6" i="9"/>
  <c r="I30" i="9"/>
  <c r="H34" i="9"/>
  <c r="L34" i="9"/>
  <c r="M34" i="9"/>
  <c r="H17" i="9"/>
  <c r="L17" i="9"/>
  <c r="M17" i="9"/>
  <c r="H31" i="9"/>
  <c r="L31" i="9"/>
  <c r="M31" i="9"/>
  <c r="L33" i="9"/>
  <c r="M33" i="9"/>
  <c r="I34" i="9"/>
  <c r="H18" i="9"/>
  <c r="M18" i="9"/>
  <c r="L18" i="9"/>
  <c r="M12" i="9"/>
  <c r="L12" i="9"/>
  <c r="I14" i="9"/>
  <c r="M14" i="9"/>
  <c r="L14" i="9"/>
  <c r="H16" i="9"/>
  <c r="M16" i="9"/>
  <c r="L16" i="9"/>
  <c r="L19" i="9"/>
  <c r="M19" i="9"/>
  <c r="L23" i="9"/>
  <c r="M23" i="9"/>
  <c r="I24" i="9"/>
  <c r="H30" i="9"/>
  <c r="I6" i="9"/>
  <c r="I13" i="9"/>
  <c r="I17" i="9"/>
  <c r="I18" i="9"/>
  <c r="L36" i="9" l="1"/>
  <c r="M36" i="9"/>
  <c r="H36" i="9"/>
  <c r="I36" i="9"/>
  <c r="I38" i="9" s="1"/>
  <c r="E10" i="8" l="1"/>
  <c r="I34" i="3" l="1"/>
  <c r="I35" i="3"/>
  <c r="I37" i="3"/>
  <c r="I40" i="3"/>
  <c r="G22" i="3"/>
  <c r="G23" i="3"/>
  <c r="G25" i="3"/>
  <c r="G26" i="3"/>
  <c r="G27" i="3"/>
  <c r="G28" i="3"/>
  <c r="G21" i="3"/>
  <c r="I10" i="3"/>
  <c r="I11" i="3"/>
  <c r="I12" i="3"/>
  <c r="I9" i="3"/>
  <c r="I68" i="5"/>
  <c r="I39" i="3" s="1"/>
  <c r="I67" i="5"/>
  <c r="I38" i="3" s="1"/>
  <c r="I65" i="5" l="1"/>
  <c r="I36" i="3" s="1"/>
  <c r="I62" i="5"/>
  <c r="I33" i="3" s="1"/>
  <c r="G57" i="5"/>
  <c r="G32" i="5"/>
  <c r="G24" i="3" s="1"/>
  <c r="I5" i="5" l="1"/>
  <c r="I5" i="3" s="1"/>
  <c r="C30" i="1"/>
  <c r="H30" i="1" s="1"/>
  <c r="C24" i="1"/>
  <c r="C23" i="1"/>
  <c r="C17" i="1"/>
  <c r="C14" i="1"/>
  <c r="C13" i="1"/>
  <c r="C12" i="1"/>
  <c r="C6" i="1"/>
  <c r="H10" i="1"/>
  <c r="H11" i="1"/>
  <c r="H15" i="1"/>
  <c r="H20" i="1"/>
  <c r="H21" i="1"/>
  <c r="H22" i="1"/>
  <c r="H26" i="1"/>
  <c r="H27" i="1"/>
  <c r="H35" i="1"/>
  <c r="C34" i="1"/>
  <c r="H34" i="1" s="1"/>
  <c r="C33" i="1"/>
  <c r="H33" i="1" s="1"/>
  <c r="C31" i="1"/>
  <c r="H31" i="1" s="1"/>
  <c r="C19" i="1"/>
  <c r="H19" i="1" s="1"/>
  <c r="C18" i="1"/>
  <c r="H18" i="1" s="1"/>
  <c r="I31" i="1" l="1"/>
  <c r="H32" i="1"/>
  <c r="H29" i="1"/>
  <c r="H28" i="1"/>
  <c r="H25" i="1"/>
  <c r="H24" i="1" l="1"/>
  <c r="H23" i="1"/>
  <c r="H17" i="1"/>
  <c r="H16" i="1"/>
  <c r="H14" i="1"/>
  <c r="H13" i="1"/>
  <c r="H12" i="1"/>
  <c r="I11" i="1"/>
  <c r="H9" i="1"/>
  <c r="H8" i="1"/>
  <c r="H7" i="1"/>
  <c r="H6" i="1" l="1"/>
  <c r="I6" i="1"/>
  <c r="AI10" i="8"/>
  <c r="I8" i="2" l="1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I31" i="2"/>
  <c r="J31" i="2"/>
  <c r="J7" i="2"/>
  <c r="I7" i="2"/>
  <c r="I34" i="2"/>
  <c r="J34" i="2"/>
  <c r="I35" i="2"/>
  <c r="J35" i="2"/>
  <c r="I36" i="2"/>
  <c r="J36" i="2"/>
  <c r="I37" i="2"/>
  <c r="J37" i="2"/>
  <c r="I38" i="2"/>
  <c r="J38" i="2"/>
  <c r="I39" i="2"/>
  <c r="J39" i="2"/>
  <c r="I40" i="2"/>
  <c r="J40" i="2"/>
  <c r="J33" i="2"/>
  <c r="I33" i="2"/>
  <c r="H10" i="2"/>
  <c r="I7" i="1" l="1"/>
  <c r="I8" i="1"/>
  <c r="I9" i="1"/>
  <c r="I10" i="1"/>
  <c r="I12" i="1"/>
  <c r="I13" i="1"/>
  <c r="I14" i="1"/>
  <c r="I15" i="1"/>
  <c r="I16" i="1"/>
  <c r="I17" i="1"/>
  <c r="I18" i="1"/>
  <c r="I19" i="1"/>
  <c r="I21" i="1"/>
  <c r="I22" i="1"/>
  <c r="I23" i="1"/>
  <c r="I24" i="1"/>
  <c r="I25" i="1"/>
  <c r="I26" i="1"/>
  <c r="I27" i="1"/>
  <c r="I28" i="1"/>
  <c r="I29" i="1"/>
  <c r="I30" i="1"/>
  <c r="I32" i="1"/>
  <c r="I34" i="1"/>
  <c r="I35" i="1"/>
  <c r="F10" i="8" l="1"/>
  <c r="N7" i="7" l="1"/>
  <c r="M7" i="7"/>
  <c r="L7" i="7"/>
  <c r="K39" i="7" l="1"/>
  <c r="K40" i="7"/>
  <c r="L39" i="7"/>
  <c r="L40" i="7"/>
  <c r="K34" i="7"/>
  <c r="K35" i="7"/>
  <c r="K36" i="7"/>
  <c r="K37" i="7"/>
  <c r="K38" i="7"/>
  <c r="K33" i="7"/>
  <c r="L34" i="7"/>
  <c r="L35" i="7"/>
  <c r="L36" i="7"/>
  <c r="L37" i="7"/>
  <c r="L38" i="7"/>
  <c r="L33" i="7"/>
  <c r="L25" i="7"/>
  <c r="L26" i="7"/>
  <c r="L27" i="7"/>
  <c r="L28" i="7"/>
  <c r="L29" i="7"/>
  <c r="L30" i="7"/>
  <c r="L31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8" i="7"/>
  <c r="K9" i="7"/>
  <c r="K10" i="7"/>
  <c r="K11" i="7"/>
  <c r="K12" i="7"/>
  <c r="K13" i="7"/>
  <c r="K14" i="7"/>
  <c r="K15" i="7"/>
  <c r="K16" i="7"/>
  <c r="K7" i="7"/>
  <c r="M34" i="7" l="1"/>
  <c r="M35" i="7"/>
  <c r="M36" i="7"/>
  <c r="M37" i="7"/>
  <c r="M38" i="7"/>
  <c r="M39" i="7"/>
  <c r="M40" i="7"/>
  <c r="N34" i="7"/>
  <c r="N35" i="7"/>
  <c r="N36" i="7"/>
  <c r="N37" i="7"/>
  <c r="N38" i="7"/>
  <c r="N39" i="7"/>
  <c r="N40" i="7"/>
  <c r="N33" i="7"/>
  <c r="M33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F31" i="7" l="1"/>
  <c r="E31" i="7"/>
  <c r="F30" i="7"/>
  <c r="E30" i="7"/>
  <c r="F29" i="7"/>
  <c r="E29" i="7"/>
  <c r="F28" i="7"/>
  <c r="E28" i="7"/>
  <c r="F27" i="7"/>
  <c r="E27" i="7"/>
  <c r="F26" i="7"/>
  <c r="E26" i="7"/>
  <c r="F25" i="7"/>
  <c r="E25" i="7"/>
  <c r="F24" i="7"/>
  <c r="E24" i="7"/>
  <c r="F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13" i="7"/>
  <c r="E13" i="7"/>
  <c r="F12" i="7"/>
  <c r="E12" i="7"/>
  <c r="F11" i="7"/>
  <c r="E11" i="7"/>
  <c r="F10" i="7"/>
  <c r="E10" i="7"/>
  <c r="F9" i="7"/>
  <c r="E9" i="7"/>
  <c r="F8" i="7"/>
  <c r="E8" i="7"/>
  <c r="F7" i="7"/>
  <c r="E7" i="7"/>
  <c r="E27" i="2" l="1"/>
  <c r="F27" i="2"/>
  <c r="E28" i="2"/>
  <c r="F28" i="2"/>
  <c r="E29" i="2"/>
  <c r="F29" i="2"/>
  <c r="E30" i="2"/>
  <c r="F30" i="2"/>
  <c r="E31" i="2"/>
  <c r="F31" i="2"/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7" i="2"/>
  <c r="F8" i="2"/>
  <c r="G40" i="3" l="1"/>
  <c r="H40" i="3" s="1"/>
  <c r="J40" i="3" s="1"/>
  <c r="G39" i="3"/>
  <c r="H39" i="3" s="1"/>
  <c r="J39" i="3" s="1"/>
  <c r="G38" i="3"/>
  <c r="H38" i="3" s="1"/>
  <c r="J38" i="3" s="1"/>
  <c r="G37" i="3"/>
  <c r="H37" i="3" s="1"/>
  <c r="J37" i="3" s="1"/>
  <c r="G36" i="3"/>
  <c r="H36" i="3" s="1"/>
  <c r="J36" i="3" s="1"/>
  <c r="G35" i="3"/>
  <c r="H35" i="3" s="1"/>
  <c r="J35" i="3" s="1"/>
  <c r="G34" i="3"/>
  <c r="H34" i="3" s="1"/>
  <c r="J34" i="3" s="1"/>
  <c r="G33" i="3"/>
  <c r="H33" i="3" s="1"/>
  <c r="J33" i="3" s="1"/>
  <c r="E28" i="3"/>
  <c r="F28" i="3" s="1"/>
  <c r="H28" i="3" s="1"/>
  <c r="E27" i="3"/>
  <c r="F27" i="3" s="1"/>
  <c r="H27" i="3" s="1"/>
  <c r="E26" i="3"/>
  <c r="F26" i="3" s="1"/>
  <c r="H26" i="3" s="1"/>
  <c r="E25" i="3"/>
  <c r="F25" i="3" s="1"/>
  <c r="H25" i="3" s="1"/>
  <c r="E24" i="3"/>
  <c r="F24" i="3" s="1"/>
  <c r="H24" i="3" s="1"/>
  <c r="E23" i="3"/>
  <c r="F23" i="3" s="1"/>
  <c r="H23" i="3" s="1"/>
  <c r="E22" i="3"/>
  <c r="F22" i="3" s="1"/>
  <c r="H22" i="3" s="1"/>
  <c r="J41" i="3" l="1"/>
  <c r="H29" i="3"/>
  <c r="M15" i="6" s="1"/>
  <c r="T69" i="6"/>
  <c r="U60" i="6"/>
  <c r="T60" i="6"/>
  <c r="T51" i="6"/>
  <c r="U42" i="6"/>
  <c r="T42" i="6"/>
  <c r="U33" i="6"/>
  <c r="T33" i="6"/>
  <c r="J10" i="3"/>
  <c r="J11" i="3"/>
  <c r="J12" i="3"/>
  <c r="J9" i="3"/>
  <c r="J5" i="3"/>
  <c r="J6" i="3" s="1"/>
  <c r="N78" i="6" l="1"/>
  <c r="N42" i="6"/>
  <c r="N69" i="6"/>
  <c r="N33" i="6"/>
  <c r="N60" i="6"/>
  <c r="N24" i="6"/>
  <c r="N51" i="6"/>
  <c r="N15" i="6"/>
  <c r="C46" i="3"/>
  <c r="M51" i="6"/>
  <c r="M78" i="6"/>
  <c r="M42" i="6"/>
  <c r="M69" i="6"/>
  <c r="M33" i="6"/>
  <c r="M60" i="6"/>
  <c r="M24" i="6"/>
  <c r="C45" i="3"/>
  <c r="J13" i="3"/>
  <c r="K48" i="4"/>
  <c r="G48" i="4"/>
  <c r="C48" i="3" l="1"/>
  <c r="C49" i="3" s="1"/>
  <c r="L51" i="6"/>
  <c r="L33" i="6"/>
  <c r="L78" i="6"/>
  <c r="L42" i="6"/>
  <c r="L69" i="6"/>
  <c r="L60" i="6"/>
  <c r="L24" i="6"/>
  <c r="L15" i="6"/>
  <c r="C44" i="3"/>
  <c r="G69" i="5"/>
  <c r="H69" i="5" s="1"/>
  <c r="J69" i="5" s="1"/>
  <c r="G68" i="5"/>
  <c r="H68" i="5" s="1"/>
  <c r="J68" i="5" s="1"/>
  <c r="G67" i="5"/>
  <c r="H67" i="5" s="1"/>
  <c r="J67" i="5" s="1"/>
  <c r="G66" i="5"/>
  <c r="H66" i="5" s="1"/>
  <c r="J66" i="5" s="1"/>
  <c r="G65" i="5"/>
  <c r="H65" i="5" s="1"/>
  <c r="J65" i="5" s="1"/>
  <c r="G64" i="5"/>
  <c r="H64" i="5" s="1"/>
  <c r="J64" i="5" s="1"/>
  <c r="G63" i="5"/>
  <c r="H63" i="5" s="1"/>
  <c r="J63" i="5" s="1"/>
  <c r="G62" i="5"/>
  <c r="H62" i="5" s="1"/>
  <c r="J62" i="5" s="1"/>
  <c r="E50" i="5"/>
  <c r="F50" i="5" s="1"/>
  <c r="H50" i="5" s="1"/>
  <c r="E49" i="5"/>
  <c r="F49" i="5" s="1"/>
  <c r="H49" i="5" s="1"/>
  <c r="E48" i="5"/>
  <c r="F48" i="5" s="1"/>
  <c r="H48" i="5" s="1"/>
  <c r="E47" i="5"/>
  <c r="F47" i="5" s="1"/>
  <c r="H47" i="5" s="1"/>
  <c r="E46" i="5"/>
  <c r="F46" i="5" s="1"/>
  <c r="H46" i="5" s="1"/>
  <c r="E45" i="5"/>
  <c r="F45" i="5" s="1"/>
  <c r="H45" i="5" s="1"/>
  <c r="E44" i="5"/>
  <c r="F44" i="5" s="1"/>
  <c r="H44" i="5" s="1"/>
  <c r="E43" i="5"/>
  <c r="F43" i="5" s="1"/>
  <c r="H43" i="5" s="1"/>
  <c r="E36" i="5"/>
  <c r="F36" i="5" s="1"/>
  <c r="H36" i="5" s="1"/>
  <c r="E35" i="5"/>
  <c r="F35" i="5" s="1"/>
  <c r="H35" i="5" s="1"/>
  <c r="E34" i="5"/>
  <c r="F34" i="5" s="1"/>
  <c r="H34" i="5" s="1"/>
  <c r="E33" i="5"/>
  <c r="F33" i="5" s="1"/>
  <c r="H33" i="5" s="1"/>
  <c r="E32" i="5"/>
  <c r="F32" i="5" s="1"/>
  <c r="H32" i="5" s="1"/>
  <c r="E31" i="5"/>
  <c r="F31" i="5" s="1"/>
  <c r="H31" i="5" s="1"/>
  <c r="E30" i="5"/>
  <c r="F30" i="5" s="1"/>
  <c r="H30" i="5" s="1"/>
  <c r="E29" i="5"/>
  <c r="F29" i="5" s="1"/>
  <c r="H29" i="5" s="1"/>
  <c r="G19" i="5"/>
  <c r="H19" i="5" s="1"/>
  <c r="J19" i="5" s="1"/>
  <c r="G18" i="5"/>
  <c r="H18" i="5" s="1"/>
  <c r="J18" i="5" s="1"/>
  <c r="G17" i="5"/>
  <c r="H17" i="5" s="1"/>
  <c r="J17" i="5" s="1"/>
  <c r="G16" i="5"/>
  <c r="H16" i="5" s="1"/>
  <c r="J16" i="5" s="1"/>
  <c r="G12" i="5"/>
  <c r="H12" i="5" s="1"/>
  <c r="J12" i="5" s="1"/>
  <c r="G11" i="5"/>
  <c r="H11" i="5" s="1"/>
  <c r="J11" i="5" s="1"/>
  <c r="G10" i="5"/>
  <c r="H10" i="5" s="1"/>
  <c r="J10" i="5" s="1"/>
  <c r="G9" i="5"/>
  <c r="H9" i="5" s="1"/>
  <c r="J9" i="5" s="1"/>
  <c r="G6" i="5"/>
  <c r="H6" i="5" s="1"/>
  <c r="J6" i="5" s="1"/>
  <c r="G5" i="5"/>
  <c r="H5" i="5" s="1"/>
  <c r="J5" i="5" s="1"/>
  <c r="T87" i="4"/>
  <c r="T86" i="4"/>
  <c r="T85" i="4"/>
  <c r="U98" i="4"/>
  <c r="T98" i="4"/>
  <c r="U76" i="4"/>
  <c r="T76" i="4"/>
  <c r="T67" i="4"/>
  <c r="U58" i="4"/>
  <c r="T58" i="4"/>
  <c r="U48" i="4"/>
  <c r="T48" i="4"/>
  <c r="Q48" i="4"/>
  <c r="H37" i="5" l="1"/>
  <c r="C75" i="5" s="1"/>
  <c r="P78" i="6"/>
  <c r="P42" i="6"/>
  <c r="P69" i="6"/>
  <c r="P33" i="6"/>
  <c r="P24" i="6"/>
  <c r="P15" i="6"/>
  <c r="Q15" i="6" s="1"/>
  <c r="P60" i="6"/>
  <c r="P51" i="6"/>
  <c r="R48" i="4"/>
  <c r="S48" i="4"/>
  <c r="J20" i="5"/>
  <c r="H51" i="5"/>
  <c r="J13" i="5"/>
  <c r="J70" i="5"/>
  <c r="C85" i="5"/>
  <c r="J21" i="5" l="1"/>
  <c r="C74" i="5" s="1"/>
  <c r="N97" i="4"/>
  <c r="N19" i="4"/>
  <c r="O97" i="4"/>
  <c r="O19" i="4"/>
  <c r="N86" i="4"/>
  <c r="N87" i="4"/>
  <c r="N85" i="4"/>
  <c r="N76" i="4"/>
  <c r="O98" i="4"/>
  <c r="O96" i="4"/>
  <c r="O67" i="4"/>
  <c r="O76" i="4"/>
  <c r="O20" i="4"/>
  <c r="O16" i="4"/>
  <c r="O15" i="4"/>
  <c r="O17" i="4"/>
  <c r="O18" i="4"/>
  <c r="M67" i="4"/>
  <c r="M31" i="4"/>
  <c r="M35" i="4"/>
  <c r="M39" i="4"/>
  <c r="M87" i="4"/>
  <c r="M58" i="4"/>
  <c r="M36" i="4"/>
  <c r="M29" i="4"/>
  <c r="M86" i="4"/>
  <c r="M57" i="4"/>
  <c r="M33" i="4"/>
  <c r="M37" i="4"/>
  <c r="M85" i="4"/>
  <c r="M30" i="4"/>
  <c r="M34" i="4"/>
  <c r="M38" i="4"/>
  <c r="C83" i="5"/>
  <c r="N30" i="4"/>
  <c r="N34" i="4"/>
  <c r="N38" i="4"/>
  <c r="N17" i="4"/>
  <c r="N67" i="4"/>
  <c r="N31" i="4"/>
  <c r="N35" i="4"/>
  <c r="N39" i="4"/>
  <c r="N18" i="4"/>
  <c r="N98" i="4"/>
  <c r="N58" i="4"/>
  <c r="N36" i="4"/>
  <c r="N29" i="4"/>
  <c r="N20" i="4"/>
  <c r="N96" i="4"/>
  <c r="N57" i="4"/>
  <c r="N33" i="4"/>
  <c r="N37" i="4"/>
  <c r="N16" i="4"/>
  <c r="N15" i="4"/>
  <c r="Q78" i="6"/>
  <c r="C76" i="5"/>
  <c r="C84" i="5"/>
  <c r="P96" i="4" l="1"/>
  <c r="L97" i="4"/>
  <c r="L19" i="4"/>
  <c r="L98" i="4"/>
  <c r="L85" i="4"/>
  <c r="L57" i="4"/>
  <c r="L33" i="4"/>
  <c r="L37" i="4"/>
  <c r="L16" i="4"/>
  <c r="L15" i="4"/>
  <c r="L87" i="4"/>
  <c r="L67" i="4"/>
  <c r="L35" i="4"/>
  <c r="L86" i="4"/>
  <c r="L29" i="4"/>
  <c r="L96" i="4"/>
  <c r="L76" i="4"/>
  <c r="L30" i="4"/>
  <c r="L34" i="4"/>
  <c r="L38" i="4"/>
  <c r="L17" i="4"/>
  <c r="L31" i="4"/>
  <c r="L39" i="4"/>
  <c r="L18" i="4"/>
  <c r="L58" i="4"/>
  <c r="L36" i="4"/>
  <c r="L20" i="4"/>
  <c r="Q60" i="6"/>
  <c r="Q42" i="6"/>
  <c r="Q33" i="6"/>
  <c r="Q69" i="6"/>
  <c r="Q51" i="6"/>
  <c r="Q24" i="6"/>
  <c r="C82" i="5"/>
  <c r="P38" i="4" l="1"/>
  <c r="Q38" i="4" s="1"/>
  <c r="Y33" i="8" s="1"/>
  <c r="P33" i="4"/>
  <c r="Q33" i="4" s="1"/>
  <c r="Y28" i="8" s="1"/>
  <c r="P58" i="4"/>
  <c r="Q58" i="4" s="1"/>
  <c r="Y13" i="8" s="1"/>
  <c r="C79" i="5"/>
  <c r="E77" i="5" s="1"/>
  <c r="C87" i="5"/>
  <c r="P87" i="4"/>
  <c r="Q87" i="4" s="1"/>
  <c r="Y20" i="8" s="1"/>
  <c r="P34" i="4"/>
  <c r="Q34" i="4" s="1"/>
  <c r="Y29" i="8" s="1"/>
  <c r="P29" i="4"/>
  <c r="Q29" i="4" s="1"/>
  <c r="Y18" i="8" s="1"/>
  <c r="AB18" i="8" s="1"/>
  <c r="P86" i="4"/>
  <c r="Q86" i="4" s="1"/>
  <c r="Y15" i="8" s="1"/>
  <c r="P15" i="4"/>
  <c r="Q15" i="4" s="1"/>
  <c r="Y16" i="8" s="1"/>
  <c r="P85" i="4"/>
  <c r="Q85" i="4" s="1"/>
  <c r="Y12" i="8" s="1"/>
  <c r="P67" i="4"/>
  <c r="Q67" i="4" s="1"/>
  <c r="Y19" i="8" s="1"/>
  <c r="P16" i="4"/>
  <c r="Q16" i="4" s="1"/>
  <c r="Y17" i="8" s="1"/>
  <c r="P31" i="4"/>
  <c r="Q31" i="4" s="1"/>
  <c r="Y23" i="8" s="1"/>
  <c r="P98" i="4"/>
  <c r="Q98" i="4" s="1"/>
  <c r="Y10" i="8" s="1"/>
  <c r="P18" i="4"/>
  <c r="Q18" i="4" s="1"/>
  <c r="Y26" i="8" s="1"/>
  <c r="P36" i="4"/>
  <c r="Q36" i="4" s="1"/>
  <c r="Y31" i="8" s="1"/>
  <c r="P39" i="4"/>
  <c r="Q39" i="4" s="1"/>
  <c r="Y34" i="8" s="1"/>
  <c r="P76" i="4"/>
  <c r="Q76" i="4" s="1"/>
  <c r="P30" i="4"/>
  <c r="Q30" i="4" s="1"/>
  <c r="Y22" i="8" s="1"/>
  <c r="P20" i="4"/>
  <c r="Q20" i="4" s="1"/>
  <c r="Y27" i="8" s="1"/>
  <c r="P37" i="4"/>
  <c r="Q37" i="4" s="1"/>
  <c r="Y32" i="8" s="1"/>
  <c r="P57" i="4"/>
  <c r="Q57" i="4" s="1"/>
  <c r="Y21" i="8" s="1"/>
  <c r="P17" i="4"/>
  <c r="Q17" i="4" s="1"/>
  <c r="Y25" i="8" s="1"/>
  <c r="P35" i="4"/>
  <c r="Q35" i="4" s="1"/>
  <c r="Y30" i="8" s="1"/>
  <c r="P19" i="4"/>
  <c r="Q19" i="4" s="1"/>
  <c r="Y24" i="8" s="1"/>
  <c r="P97" i="4"/>
  <c r="Q97" i="4" s="1"/>
  <c r="Y11" i="8" s="1"/>
  <c r="Q96" i="4"/>
  <c r="Y14" i="8" s="1"/>
  <c r="Z14" i="8" l="1"/>
  <c r="AA14" i="8"/>
  <c r="AB14" i="8"/>
  <c r="AB25" i="8"/>
  <c r="AA25" i="8"/>
  <c r="Z25" i="8"/>
  <c r="AA22" i="8"/>
  <c r="Z22" i="8"/>
  <c r="AB22" i="8"/>
  <c r="Z26" i="8"/>
  <c r="AA26" i="8"/>
  <c r="AB26" i="8"/>
  <c r="Z19" i="8"/>
  <c r="AB19" i="8"/>
  <c r="AA19" i="8"/>
  <c r="Z18" i="8"/>
  <c r="AA18" i="8"/>
  <c r="Z11" i="8"/>
  <c r="AB11" i="8"/>
  <c r="AA11" i="8"/>
  <c r="Z21" i="8"/>
  <c r="AB21" i="8"/>
  <c r="AA21" i="8"/>
  <c r="Z10" i="8"/>
  <c r="Y35" i="8"/>
  <c r="AB10" i="8"/>
  <c r="AA10" i="8"/>
  <c r="AB12" i="8"/>
  <c r="AA12" i="8"/>
  <c r="Z12" i="8"/>
  <c r="Z29" i="8"/>
  <c r="AB29" i="8"/>
  <c r="AA29" i="8"/>
  <c r="Z13" i="8"/>
  <c r="AA13" i="8"/>
  <c r="AB13" i="8"/>
  <c r="Z24" i="8"/>
  <c r="AA24" i="8"/>
  <c r="AB24" i="8"/>
  <c r="Z32" i="8"/>
  <c r="AB32" i="8"/>
  <c r="AA32" i="8"/>
  <c r="Z34" i="8"/>
  <c r="AB34" i="8"/>
  <c r="AA34" i="8"/>
  <c r="Z23" i="8"/>
  <c r="AA23" i="8"/>
  <c r="AB23" i="8"/>
  <c r="Z16" i="8"/>
  <c r="AB16" i="8"/>
  <c r="AA16" i="8"/>
  <c r="AB20" i="8"/>
  <c r="AA20" i="8"/>
  <c r="Z20" i="8"/>
  <c r="Z28" i="8"/>
  <c r="AA28" i="8"/>
  <c r="AB28" i="8"/>
  <c r="Z30" i="8"/>
  <c r="AB30" i="8"/>
  <c r="AA30" i="8"/>
  <c r="AA27" i="8"/>
  <c r="AB27" i="8"/>
  <c r="Z27" i="8"/>
  <c r="Z31" i="8"/>
  <c r="AA31" i="8"/>
  <c r="AB31" i="8"/>
  <c r="Z17" i="8"/>
  <c r="AB17" i="8"/>
  <c r="AA17" i="8"/>
  <c r="AA15" i="8"/>
  <c r="AB15" i="8"/>
  <c r="Z15" i="8"/>
  <c r="Z33" i="8"/>
  <c r="AB33" i="8"/>
  <c r="AA33" i="8"/>
  <c r="E78" i="5"/>
  <c r="E75" i="5"/>
  <c r="E76" i="5"/>
  <c r="E74" i="5"/>
  <c r="E83" i="5"/>
  <c r="E86" i="5"/>
  <c r="E85" i="5"/>
  <c r="E84" i="5"/>
  <c r="E82" i="5"/>
  <c r="Z35" i="8" l="1"/>
  <c r="AA35" i="8"/>
  <c r="AB35" i="8"/>
  <c r="E79" i="5"/>
  <c r="U32" i="4"/>
  <c r="T32" i="4"/>
  <c r="E87" i="5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7" i="2"/>
  <c r="I33" i="1" l="1"/>
  <c r="I36" i="1" s="1"/>
  <c r="C30" i="4" s="1"/>
  <c r="G30" i="4" s="1"/>
  <c r="R30" i="4" l="1"/>
  <c r="I22" i="8" s="1"/>
  <c r="Q22" i="8"/>
  <c r="U22" i="8" s="1"/>
  <c r="S22" i="8"/>
  <c r="H36" i="1"/>
  <c r="K19" i="2"/>
  <c r="C33" i="6"/>
  <c r="C60" i="6"/>
  <c r="C24" i="6"/>
  <c r="C51" i="6"/>
  <c r="C96" i="4"/>
  <c r="C76" i="4"/>
  <c r="C97" i="4"/>
  <c r="C19" i="4"/>
  <c r="C15" i="4"/>
  <c r="C42" i="6"/>
  <c r="C33" i="4"/>
  <c r="C58" i="4"/>
  <c r="C85" i="4"/>
  <c r="C29" i="4"/>
  <c r="C15" i="6"/>
  <c r="C67" i="4"/>
  <c r="C16" i="4"/>
  <c r="C57" i="4"/>
  <c r="C37" i="4"/>
  <c r="C20" i="4"/>
  <c r="C87" i="4"/>
  <c r="C17" i="4"/>
  <c r="C18" i="4"/>
  <c r="C34" i="4"/>
  <c r="C98" i="4"/>
  <c r="C36" i="4"/>
  <c r="C31" i="4"/>
  <c r="C39" i="4"/>
  <c r="C86" i="4"/>
  <c r="C35" i="4"/>
  <c r="K30" i="4"/>
  <c r="C38" i="4"/>
  <c r="C69" i="6"/>
  <c r="C78" i="6"/>
  <c r="T30" i="4"/>
  <c r="S30" i="4" l="1"/>
  <c r="J22" i="8" s="1"/>
  <c r="R22" i="8"/>
  <c r="K22" i="8"/>
  <c r="G19" i="2"/>
  <c r="K69" i="6"/>
  <c r="G69" i="6"/>
  <c r="G86" i="4"/>
  <c r="K86" i="4"/>
  <c r="G98" i="4"/>
  <c r="K98" i="4"/>
  <c r="G87" i="4"/>
  <c r="K87" i="4"/>
  <c r="G16" i="4"/>
  <c r="K16" i="4"/>
  <c r="K85" i="4"/>
  <c r="G85" i="4"/>
  <c r="G15" i="4"/>
  <c r="K15" i="4"/>
  <c r="G96" i="4"/>
  <c r="K96" i="4"/>
  <c r="G33" i="6"/>
  <c r="K33" i="6"/>
  <c r="K38" i="4"/>
  <c r="G38" i="4"/>
  <c r="K39" i="4"/>
  <c r="G39" i="4"/>
  <c r="K34" i="4"/>
  <c r="G34" i="4"/>
  <c r="G20" i="4"/>
  <c r="K20" i="4"/>
  <c r="G67" i="4"/>
  <c r="K67" i="4"/>
  <c r="G58" i="4"/>
  <c r="K58" i="4"/>
  <c r="K19" i="4"/>
  <c r="G19" i="4"/>
  <c r="G51" i="6"/>
  <c r="K51" i="6"/>
  <c r="K31" i="4"/>
  <c r="G31" i="4"/>
  <c r="K18" i="4"/>
  <c r="G18" i="4"/>
  <c r="G37" i="4"/>
  <c r="K37" i="4"/>
  <c r="K15" i="6"/>
  <c r="G15" i="6"/>
  <c r="G33" i="4"/>
  <c r="K33" i="4"/>
  <c r="K97" i="4"/>
  <c r="S97" i="4" s="1"/>
  <c r="J11" i="8" s="1"/>
  <c r="G97" i="4"/>
  <c r="G24" i="6"/>
  <c r="K24" i="6"/>
  <c r="K78" i="6"/>
  <c r="G78" i="6"/>
  <c r="K35" i="4"/>
  <c r="G35" i="4"/>
  <c r="G36" i="4"/>
  <c r="K36" i="4"/>
  <c r="G17" i="4"/>
  <c r="K17" i="4"/>
  <c r="G57" i="4"/>
  <c r="K57" i="4"/>
  <c r="K29" i="4"/>
  <c r="G29" i="4"/>
  <c r="K42" i="6"/>
  <c r="G42" i="6"/>
  <c r="K76" i="4"/>
  <c r="S76" i="4" s="1"/>
  <c r="G76" i="4"/>
  <c r="R76" i="4" s="1"/>
  <c r="G60" i="6"/>
  <c r="K60" i="6"/>
  <c r="S60" i="6" l="1"/>
  <c r="J42" i="8" s="1"/>
  <c r="R42" i="8"/>
  <c r="R78" i="6"/>
  <c r="I44" i="8" s="1"/>
  <c r="Q44" i="8"/>
  <c r="S44" i="8" s="1"/>
  <c r="S24" i="6"/>
  <c r="J38" i="8" s="1"/>
  <c r="H34" i="2" s="1"/>
  <c r="R38" i="8"/>
  <c r="R24" i="6"/>
  <c r="I38" i="8" s="1"/>
  <c r="Q38" i="8"/>
  <c r="S38" i="8" s="1"/>
  <c r="R42" i="6"/>
  <c r="I40" i="8" s="1"/>
  <c r="Q40" i="8"/>
  <c r="R15" i="6"/>
  <c r="I37" i="8" s="1"/>
  <c r="Q37" i="8"/>
  <c r="S37" i="8" s="1"/>
  <c r="S51" i="6"/>
  <c r="J41" i="8" s="1"/>
  <c r="H37" i="2" s="1"/>
  <c r="R41" i="8"/>
  <c r="S33" i="6"/>
  <c r="J39" i="8" s="1"/>
  <c r="R39" i="8"/>
  <c r="R69" i="6"/>
  <c r="I43" i="8" s="1"/>
  <c r="Q43" i="8"/>
  <c r="R60" i="6"/>
  <c r="I42" i="8" s="1"/>
  <c r="Q42" i="8"/>
  <c r="S42" i="8" s="1"/>
  <c r="S42" i="6"/>
  <c r="J40" i="8" s="1"/>
  <c r="R40" i="8"/>
  <c r="S78" i="6"/>
  <c r="J44" i="8" s="1"/>
  <c r="H40" i="2" s="1"/>
  <c r="R44" i="8"/>
  <c r="T44" i="8" s="1"/>
  <c r="S15" i="6"/>
  <c r="J37" i="8" s="1"/>
  <c r="H33" i="2" s="1"/>
  <c r="R37" i="8"/>
  <c r="R51" i="6"/>
  <c r="I41" i="8" s="1"/>
  <c r="Q41" i="8"/>
  <c r="S41" i="8" s="1"/>
  <c r="R33" i="6"/>
  <c r="I39" i="8" s="1"/>
  <c r="Q39" i="8"/>
  <c r="S69" i="6"/>
  <c r="J43" i="8" s="1"/>
  <c r="R43" i="8"/>
  <c r="T43" i="8" s="1"/>
  <c r="U30" i="4"/>
  <c r="S29" i="4"/>
  <c r="R18" i="8"/>
  <c r="R17" i="4"/>
  <c r="I25" i="8" s="1"/>
  <c r="Q25" i="8"/>
  <c r="S35" i="4"/>
  <c r="J30" i="8" s="1"/>
  <c r="R30" i="8"/>
  <c r="R33" i="4"/>
  <c r="I28" i="8" s="1"/>
  <c r="Q28" i="8"/>
  <c r="S31" i="4"/>
  <c r="J23" i="8" s="1"/>
  <c r="R23" i="8"/>
  <c r="R19" i="4"/>
  <c r="I24" i="8" s="1"/>
  <c r="Q24" i="8"/>
  <c r="R34" i="4"/>
  <c r="I29" i="8" s="1"/>
  <c r="Q29" i="8"/>
  <c r="S96" i="4"/>
  <c r="R14" i="8"/>
  <c r="R10" i="8"/>
  <c r="R85" i="4"/>
  <c r="I12" i="8" s="1"/>
  <c r="Q12" i="8"/>
  <c r="S86" i="4"/>
  <c r="J15" i="8" s="1"/>
  <c r="R15" i="8"/>
  <c r="T42" i="8"/>
  <c r="S57" i="4"/>
  <c r="J21" i="8" s="1"/>
  <c r="R21" i="8"/>
  <c r="V21" i="8" s="1"/>
  <c r="G40" i="2"/>
  <c r="R97" i="4"/>
  <c r="I11" i="8" s="1"/>
  <c r="Q11" i="8"/>
  <c r="R18" i="4"/>
  <c r="I26" i="8" s="1"/>
  <c r="Q26" i="8"/>
  <c r="S19" i="4"/>
  <c r="J24" i="8" s="1"/>
  <c r="R24" i="8"/>
  <c r="V24" i="8" s="1"/>
  <c r="R67" i="4"/>
  <c r="I19" i="8" s="1"/>
  <c r="Q19" i="8"/>
  <c r="S19" i="8" s="1"/>
  <c r="S38" i="4"/>
  <c r="J33" i="8" s="1"/>
  <c r="R33" i="8"/>
  <c r="S85" i="4"/>
  <c r="J12" i="8" s="1"/>
  <c r="R12" i="8"/>
  <c r="R87" i="4"/>
  <c r="I20" i="8" s="1"/>
  <c r="Q20" i="8"/>
  <c r="K17" i="2" s="1"/>
  <c r="T40" i="8"/>
  <c r="R57" i="4"/>
  <c r="I21" i="8" s="1"/>
  <c r="Q21" i="8"/>
  <c r="K18" i="2" s="1"/>
  <c r="R36" i="4"/>
  <c r="I31" i="8" s="1"/>
  <c r="Q31" i="8"/>
  <c r="L11" i="8"/>
  <c r="H8" i="2"/>
  <c r="L37" i="8"/>
  <c r="S18" i="4"/>
  <c r="J26" i="8" s="1"/>
  <c r="R26" i="8"/>
  <c r="S58" i="4"/>
  <c r="R13" i="8"/>
  <c r="T13" i="8" s="1"/>
  <c r="S20" i="4"/>
  <c r="J27" i="8" s="1"/>
  <c r="R27" i="8"/>
  <c r="R39" i="4"/>
  <c r="I34" i="8" s="1"/>
  <c r="Q34" i="8"/>
  <c r="S15" i="4"/>
  <c r="U15" i="4" s="1"/>
  <c r="R16" i="8"/>
  <c r="S16" i="4"/>
  <c r="J17" i="8" s="1"/>
  <c r="R17" i="8"/>
  <c r="S98" i="4"/>
  <c r="J10" i="8" s="1"/>
  <c r="R11" i="8"/>
  <c r="S43" i="8"/>
  <c r="R37" i="4"/>
  <c r="I32" i="8" s="1"/>
  <c r="Q32" i="8"/>
  <c r="S67" i="4"/>
  <c r="J19" i="8" s="1"/>
  <c r="R19" i="8"/>
  <c r="R38" i="4"/>
  <c r="I33" i="8" s="1"/>
  <c r="Q33" i="8"/>
  <c r="S87" i="4"/>
  <c r="J20" i="8" s="1"/>
  <c r="R20" i="8"/>
  <c r="S40" i="8"/>
  <c r="S36" i="4"/>
  <c r="J31" i="8" s="1"/>
  <c r="R31" i="8"/>
  <c r="G33" i="2"/>
  <c r="S34" i="4"/>
  <c r="J29" i="8" s="1"/>
  <c r="R29" i="8"/>
  <c r="R96" i="4"/>
  <c r="Q14" i="8"/>
  <c r="R86" i="4"/>
  <c r="I15" i="8" s="1"/>
  <c r="Q15" i="8"/>
  <c r="R29" i="4"/>
  <c r="T29" i="4" s="1"/>
  <c r="Q18" i="8"/>
  <c r="S17" i="4"/>
  <c r="J25" i="8" s="1"/>
  <c r="R25" i="8"/>
  <c r="R35" i="4"/>
  <c r="I30" i="8" s="1"/>
  <c r="Q30" i="8"/>
  <c r="S33" i="4"/>
  <c r="J28" i="8" s="1"/>
  <c r="R28" i="8"/>
  <c r="S37" i="4"/>
  <c r="J32" i="8" s="1"/>
  <c r="R32" i="8"/>
  <c r="R31" i="4"/>
  <c r="I23" i="8" s="1"/>
  <c r="Q23" i="8"/>
  <c r="R58" i="4"/>
  <c r="I13" i="8" s="1"/>
  <c r="Q13" i="8"/>
  <c r="S13" i="8" s="1"/>
  <c r="R20" i="4"/>
  <c r="I27" i="8" s="1"/>
  <c r="Q27" i="8"/>
  <c r="S39" i="4"/>
  <c r="J34" i="8" s="1"/>
  <c r="R34" i="8"/>
  <c r="S39" i="8"/>
  <c r="R15" i="4"/>
  <c r="T15" i="4" s="1"/>
  <c r="Q16" i="8"/>
  <c r="R16" i="4"/>
  <c r="I17" i="8" s="1"/>
  <c r="Q17" i="8"/>
  <c r="R98" i="4"/>
  <c r="I10" i="8" s="1"/>
  <c r="Q10" i="8"/>
  <c r="L22" i="8"/>
  <c r="H19" i="2"/>
  <c r="T24" i="8"/>
  <c r="S20" i="8"/>
  <c r="U15" i="8"/>
  <c r="S15" i="8"/>
  <c r="T21" i="8"/>
  <c r="V22" i="8"/>
  <c r="T22" i="8"/>
  <c r="U24" i="8"/>
  <c r="S24" i="8"/>
  <c r="L18" i="2"/>
  <c r="L19" i="2"/>
  <c r="U67" i="4"/>
  <c r="U86" i="4"/>
  <c r="L36" i="2"/>
  <c r="T36" i="4"/>
  <c r="T37" i="8"/>
  <c r="U18" i="4"/>
  <c r="L21" i="2"/>
  <c r="U38" i="4"/>
  <c r="U85" i="4"/>
  <c r="K12" i="2"/>
  <c r="T38" i="8"/>
  <c r="T41" i="8"/>
  <c r="U20" i="4"/>
  <c r="L35" i="2"/>
  <c r="K39" i="2"/>
  <c r="K36" i="2"/>
  <c r="T15" i="6"/>
  <c r="K21" i="2"/>
  <c r="T38" i="4"/>
  <c r="T37" i="4"/>
  <c r="K10" i="2"/>
  <c r="U15" i="6" l="1"/>
  <c r="U24" i="6"/>
  <c r="U51" i="6"/>
  <c r="K42" i="8"/>
  <c r="M42" i="8"/>
  <c r="N39" i="8"/>
  <c r="L39" i="8"/>
  <c r="M39" i="8"/>
  <c r="K39" i="8"/>
  <c r="K40" i="8"/>
  <c r="M40" i="8"/>
  <c r="N42" i="8"/>
  <c r="L42" i="8"/>
  <c r="K41" i="8"/>
  <c r="M41" i="8"/>
  <c r="I45" i="8"/>
  <c r="K37" i="8"/>
  <c r="M37" i="8"/>
  <c r="K38" i="8"/>
  <c r="M38" i="8"/>
  <c r="K44" i="8"/>
  <c r="M44" i="8"/>
  <c r="T24" i="6"/>
  <c r="T78" i="6"/>
  <c r="U78" i="6"/>
  <c r="M43" i="8"/>
  <c r="K43" i="8"/>
  <c r="H39" i="2"/>
  <c r="N43" i="8"/>
  <c r="L43" i="8"/>
  <c r="L44" i="8"/>
  <c r="N44" i="8"/>
  <c r="U69" i="6"/>
  <c r="N37" i="8"/>
  <c r="J45" i="8"/>
  <c r="L40" i="8"/>
  <c r="N40" i="8"/>
  <c r="L41" i="8"/>
  <c r="N41" i="8"/>
  <c r="N38" i="8"/>
  <c r="L38" i="8"/>
  <c r="U12" i="8"/>
  <c r="S12" i="8"/>
  <c r="T17" i="4"/>
  <c r="U87" i="4"/>
  <c r="U16" i="4"/>
  <c r="K9" i="2"/>
  <c r="T39" i="8"/>
  <c r="T33" i="4"/>
  <c r="T39" i="4"/>
  <c r="T31" i="4"/>
  <c r="U17" i="4"/>
  <c r="U19" i="8"/>
  <c r="U21" i="8"/>
  <c r="G34" i="2"/>
  <c r="S21" i="8"/>
  <c r="U39" i="4"/>
  <c r="U33" i="4"/>
  <c r="K16" i="2"/>
  <c r="U13" i="8"/>
  <c r="U35" i="4"/>
  <c r="L25" i="8"/>
  <c r="H22" i="2"/>
  <c r="K15" i="8"/>
  <c r="G12" i="2"/>
  <c r="R35" i="8"/>
  <c r="K21" i="8"/>
  <c r="G18" i="2"/>
  <c r="L12" i="8"/>
  <c r="H9" i="2"/>
  <c r="K26" i="8"/>
  <c r="G23" i="2"/>
  <c r="L20" i="8"/>
  <c r="H17" i="2"/>
  <c r="L19" i="8"/>
  <c r="H16" i="2"/>
  <c r="H7" i="2"/>
  <c r="K34" i="8"/>
  <c r="G31" i="2"/>
  <c r="L26" i="8"/>
  <c r="H23" i="2"/>
  <c r="H36" i="2"/>
  <c r="Q35" i="8"/>
  <c r="T10" i="8"/>
  <c r="V10" i="8"/>
  <c r="K29" i="8"/>
  <c r="G26" i="2"/>
  <c r="L23" i="8"/>
  <c r="H20" i="2"/>
  <c r="L30" i="8"/>
  <c r="H27" i="2"/>
  <c r="J16" i="8"/>
  <c r="J18" i="8"/>
  <c r="T16" i="4"/>
  <c r="K37" i="2"/>
  <c r="U29" i="4"/>
  <c r="U34" i="4"/>
  <c r="K38" i="2"/>
  <c r="T18" i="4"/>
  <c r="L38" i="2"/>
  <c r="U20" i="8"/>
  <c r="V13" i="8"/>
  <c r="G7" i="2"/>
  <c r="L34" i="8"/>
  <c r="H31" i="2"/>
  <c r="K13" i="8"/>
  <c r="G10" i="2"/>
  <c r="K23" i="8"/>
  <c r="G20" i="2"/>
  <c r="L28" i="8"/>
  <c r="H25" i="2"/>
  <c r="K30" i="8"/>
  <c r="G27" i="2"/>
  <c r="I16" i="8"/>
  <c r="I18" i="8"/>
  <c r="T96" i="4"/>
  <c r="I14" i="8"/>
  <c r="G36" i="2"/>
  <c r="G39" i="2"/>
  <c r="H35" i="2"/>
  <c r="K31" i="8"/>
  <c r="G28" i="2"/>
  <c r="K20" i="8"/>
  <c r="G17" i="2"/>
  <c r="L33" i="8"/>
  <c r="H30" i="2"/>
  <c r="L24" i="8"/>
  <c r="H21" i="2"/>
  <c r="K11" i="8"/>
  <c r="G8" i="2"/>
  <c r="L21" i="8"/>
  <c r="H18" i="2"/>
  <c r="L15" i="8"/>
  <c r="H12" i="2"/>
  <c r="T20" i="4"/>
  <c r="U31" i="4"/>
  <c r="L10" i="2"/>
  <c r="U37" i="4"/>
  <c r="T35" i="4"/>
  <c r="T34" i="4"/>
  <c r="U36" i="4"/>
  <c r="G35" i="2"/>
  <c r="G37" i="2"/>
  <c r="K33" i="8"/>
  <c r="G30" i="2"/>
  <c r="K32" i="8"/>
  <c r="G29" i="2"/>
  <c r="L17" i="8"/>
  <c r="H14" i="2"/>
  <c r="L27" i="8"/>
  <c r="H24" i="2"/>
  <c r="G38" i="2"/>
  <c r="H38" i="2"/>
  <c r="U96" i="4"/>
  <c r="J14" i="8"/>
  <c r="K24" i="8"/>
  <c r="G21" i="2"/>
  <c r="K28" i="8"/>
  <c r="G25" i="2"/>
  <c r="K25" i="8"/>
  <c r="G22" i="2"/>
  <c r="K17" i="8"/>
  <c r="G14" i="2"/>
  <c r="K27" i="8"/>
  <c r="G24" i="2"/>
  <c r="L32" i="8"/>
  <c r="H29" i="2"/>
  <c r="L29" i="8"/>
  <c r="H26" i="2"/>
  <c r="K19" i="8"/>
  <c r="G16" i="2"/>
  <c r="K12" i="8"/>
  <c r="G9" i="2"/>
  <c r="K35" i="2"/>
  <c r="S10" i="8"/>
  <c r="U10" i="8"/>
  <c r="L31" i="8"/>
  <c r="H28" i="2"/>
  <c r="U33" i="8"/>
  <c r="S33" i="8"/>
  <c r="V33" i="8"/>
  <c r="T33" i="8"/>
  <c r="V20" i="8"/>
  <c r="T20" i="8"/>
  <c r="U11" i="8"/>
  <c r="S11" i="8"/>
  <c r="V34" i="8"/>
  <c r="T34" i="8"/>
  <c r="U32" i="8"/>
  <c r="S32" i="8"/>
  <c r="V14" i="8"/>
  <c r="T14" i="8"/>
  <c r="U34" i="8"/>
  <c r="S34" i="8"/>
  <c r="V32" i="8"/>
  <c r="T32" i="8"/>
  <c r="V25" i="8"/>
  <c r="T25" i="8"/>
  <c r="V15" i="8"/>
  <c r="T15" i="8"/>
  <c r="U29" i="8"/>
  <c r="S29" i="8"/>
  <c r="V31" i="8"/>
  <c r="T31" i="8"/>
  <c r="S31" i="8"/>
  <c r="U31" i="8"/>
  <c r="U14" i="8"/>
  <c r="S14" i="8"/>
  <c r="V11" i="8"/>
  <c r="T11" i="8"/>
  <c r="V28" i="8"/>
  <c r="T28" i="8"/>
  <c r="U30" i="8"/>
  <c r="S30" i="8"/>
  <c r="V12" i="8"/>
  <c r="T12" i="8"/>
  <c r="V29" i="8"/>
  <c r="T29" i="8"/>
  <c r="S25" i="8"/>
  <c r="U25" i="8"/>
  <c r="V17" i="8"/>
  <c r="T17" i="8"/>
  <c r="U26" i="8"/>
  <c r="S26" i="8"/>
  <c r="U16" i="8"/>
  <c r="S16" i="8"/>
  <c r="V30" i="8"/>
  <c r="T30" i="8"/>
  <c r="V18" i="8"/>
  <c r="T18" i="8"/>
  <c r="V16" i="8"/>
  <c r="T16" i="8"/>
  <c r="U17" i="8"/>
  <c r="S17" i="8"/>
  <c r="U27" i="8"/>
  <c r="S27" i="8"/>
  <c r="V23" i="8"/>
  <c r="T23" i="8"/>
  <c r="U28" i="8"/>
  <c r="S28" i="8"/>
  <c r="V27" i="8"/>
  <c r="T27" i="8"/>
  <c r="U23" i="8"/>
  <c r="S23" i="8"/>
  <c r="U18" i="8"/>
  <c r="S18" i="8"/>
  <c r="V26" i="8"/>
  <c r="T26" i="8"/>
  <c r="V19" i="8"/>
  <c r="T19" i="8"/>
  <c r="K11" i="2"/>
  <c r="L15" i="2"/>
  <c r="L8" i="2"/>
  <c r="L25" i="2"/>
  <c r="K27" i="2"/>
  <c r="L9" i="2"/>
  <c r="L26" i="2"/>
  <c r="L40" i="2"/>
  <c r="K8" i="2"/>
  <c r="K29" i="2"/>
  <c r="K40" i="2"/>
  <c r="L11" i="2"/>
  <c r="L13" i="2"/>
  <c r="L24" i="2"/>
  <c r="L29" i="2"/>
  <c r="L34" i="2"/>
  <c r="L22" i="2"/>
  <c r="L33" i="2"/>
  <c r="R45" i="8"/>
  <c r="T45" i="8" s="1"/>
  <c r="L12" i="2"/>
  <c r="L16" i="2"/>
  <c r="L28" i="2"/>
  <c r="L31" i="2"/>
  <c r="K34" i="2"/>
  <c r="K22" i="2"/>
  <c r="K30" i="2"/>
  <c r="L7" i="2"/>
  <c r="L37" i="2"/>
  <c r="L30" i="2"/>
  <c r="K28" i="2"/>
  <c r="L17" i="2"/>
  <c r="K23" i="2"/>
  <c r="K13" i="2"/>
  <c r="K24" i="2"/>
  <c r="L27" i="2"/>
  <c r="L39" i="2"/>
  <c r="K7" i="2"/>
  <c r="K14" i="2"/>
  <c r="L20" i="2"/>
  <c r="K25" i="2"/>
  <c r="K33" i="2"/>
  <c r="Q45" i="8"/>
  <c r="S45" i="8" s="1"/>
  <c r="L14" i="2"/>
  <c r="K31" i="2"/>
  <c r="K20" i="2"/>
  <c r="K15" i="2"/>
  <c r="L23" i="2"/>
  <c r="K26" i="2"/>
  <c r="N45" i="8" l="1"/>
  <c r="M45" i="8"/>
  <c r="L45" i="8"/>
  <c r="K45" i="8"/>
  <c r="L14" i="8"/>
  <c r="H11" i="2"/>
  <c r="K14" i="8"/>
  <c r="G11" i="2"/>
  <c r="I35" i="8"/>
  <c r="J35" i="8"/>
  <c r="G13" i="2"/>
  <c r="H13" i="2"/>
  <c r="K18" i="8"/>
  <c r="G15" i="2"/>
  <c r="L18" i="8"/>
  <c r="H15" i="2"/>
  <c r="V35" i="8"/>
  <c r="U35" i="8"/>
  <c r="S35" i="8"/>
  <c r="T35" i="8"/>
  <c r="L35" i="8" l="1"/>
  <c r="K35" i="8"/>
</calcChain>
</file>

<file path=xl/sharedStrings.xml><?xml version="1.0" encoding="utf-8"?>
<sst xmlns="http://schemas.openxmlformats.org/spreadsheetml/2006/main" count="1205" uniqueCount="314">
  <si>
    <t>Наименование пищевого продукта или группы пищевых продуктов </t>
  </si>
  <si>
    <t>Молоко и кисломолочные продукты с м.д.ж. не ниже 2,5%</t>
  </si>
  <si>
    <t>390 </t>
  </si>
  <si>
    <t>450 </t>
  </si>
  <si>
    <t>Творог, творожные изделия с м.д.ж. не менее 5%</t>
  </si>
  <si>
    <t>30 </t>
  </si>
  <si>
    <t>40 </t>
  </si>
  <si>
    <t>Сметана с м.д.ж. не более 15%</t>
  </si>
  <si>
    <t>9 </t>
  </si>
  <si>
    <t>11 </t>
  </si>
  <si>
    <t>Сыр твердый </t>
  </si>
  <si>
    <t>4 </t>
  </si>
  <si>
    <t>6 </t>
  </si>
  <si>
    <t>50 </t>
  </si>
  <si>
    <t>55 </t>
  </si>
  <si>
    <t>Птица (куры 1 кат. потр./цыплята-бройлеры 1 кат. потр./индейка 1 кат. потр.)</t>
  </si>
  <si>
    <t>20 </t>
  </si>
  <si>
    <t>24 </t>
  </si>
  <si>
    <t>Рыба (филе), в т.ч. филе слабо- или малосоленое </t>
  </si>
  <si>
    <t>32 </t>
  </si>
  <si>
    <t>37 </t>
  </si>
  <si>
    <t>Колбасные изделия </t>
  </si>
  <si>
    <t>-</t>
  </si>
  <si>
    <t>7 </t>
  </si>
  <si>
    <t>6,9 </t>
  </si>
  <si>
    <t>Яйцо куриное столовое </t>
  </si>
  <si>
    <t>120 </t>
  </si>
  <si>
    <t>140 </t>
  </si>
  <si>
    <t>205 </t>
  </si>
  <si>
    <t>260 </t>
  </si>
  <si>
    <t>Фрукты (плоды) свежие </t>
  </si>
  <si>
    <t>95 </t>
  </si>
  <si>
    <t>100 </t>
  </si>
  <si>
    <t>Фрукты (плоды) сухие </t>
  </si>
  <si>
    <t>Соки фруктовые (овощные)</t>
  </si>
  <si>
    <t>Напитки витаминизированные (готовый напиток)</t>
  </si>
  <si>
    <t>Хлеб ржаной (ржано-пшеничный)</t>
  </si>
  <si>
    <t>Хлеб пшеничный или хлеб зерновой </t>
  </si>
  <si>
    <t>60 </t>
  </si>
  <si>
    <t>80 </t>
  </si>
  <si>
    <t>Крупы (злаки), бобовые </t>
  </si>
  <si>
    <t>43 </t>
  </si>
  <si>
    <t>Макаронные изделия </t>
  </si>
  <si>
    <t>8 </t>
  </si>
  <si>
    <t>12 </t>
  </si>
  <si>
    <t>Мука пшеничная хлебопекарная </t>
  </si>
  <si>
    <t>25 </t>
  </si>
  <si>
    <t>29 </t>
  </si>
  <si>
    <t>Масло коровье сладкосливочное </t>
  </si>
  <si>
    <t>18 </t>
  </si>
  <si>
    <t>21 </t>
  </si>
  <si>
    <t>Масло растительное </t>
  </si>
  <si>
    <t>Чай, включая фиточай </t>
  </si>
  <si>
    <t>0,5 </t>
  </si>
  <si>
    <t>0,6 </t>
  </si>
  <si>
    <t>Какао-порошок </t>
  </si>
  <si>
    <t>1,0 </t>
  </si>
  <si>
    <t>1,2 </t>
  </si>
  <si>
    <t>Сахар </t>
  </si>
  <si>
    <t>47 </t>
  </si>
  <si>
    <t>Дрожжи хлебопекарные </t>
  </si>
  <si>
    <t>0,4 </t>
  </si>
  <si>
    <t>Мука картофельная (крахмал)</t>
  </si>
  <si>
    <t>2 </t>
  </si>
  <si>
    <t>3 </t>
  </si>
  <si>
    <t>Соль пищевая поваренная </t>
  </si>
  <si>
    <t>"Теремок" п. Селенгинск</t>
  </si>
  <si>
    <t>"Рябинушка" п. Селенгинск</t>
  </si>
  <si>
    <t>"Лесная сказка" п. Каменск</t>
  </si>
  <si>
    <t>"№ 15" с. Кабанск</t>
  </si>
  <si>
    <t>"Аленушка" п. Селенгинск</t>
  </si>
  <si>
    <t>"Солнышко" п. Каменск</t>
  </si>
  <si>
    <t>"Малышка" с. Выдрино</t>
  </si>
  <si>
    <t>"Снежинка" с. Выдрино</t>
  </si>
  <si>
    <t>"Родничок" с. Выдрино</t>
  </si>
  <si>
    <t xml:space="preserve">"Тополек" г. Бабушкин </t>
  </si>
  <si>
    <t>"Успех" с. Кабанск</t>
  </si>
  <si>
    <t>"Малыш" с. Творогово</t>
  </si>
  <si>
    <t>"Чайка" с. Посольское</t>
  </si>
  <si>
    <t>"Колосок" с. Тресково</t>
  </si>
  <si>
    <t>"Шергино" д/с</t>
  </si>
  <si>
    <t>"Ладушки" с. Оймур</t>
  </si>
  <si>
    <t>"Колокольчик" с. Береговая</t>
  </si>
  <si>
    <t xml:space="preserve">"Колесовская СОШ" группа </t>
  </si>
  <si>
    <t>"Корсаковская СОШ" группа</t>
  </si>
  <si>
    <t>"Клюевская СОШ" группа</t>
  </si>
  <si>
    <t>"Сухинская СОШ" группа</t>
  </si>
  <si>
    <t>"Еланская школа-сад" группа</t>
  </si>
  <si>
    <t>от 1 до 3 лет (ясли)</t>
  </si>
  <si>
    <t>от 3 до 7 лет (сад)</t>
  </si>
  <si>
    <t>наименование</t>
  </si>
  <si>
    <t>"Родничок" с. Выдрино (круглосуточная группа)</t>
  </si>
  <si>
    <t>руб.</t>
  </si>
  <si>
    <t>Цена за 1 ед. измерения</t>
  </si>
  <si>
    <t>л</t>
  </si>
  <si>
    <t>кг.</t>
  </si>
  <si>
    <t>Мясо (бескостное/на кости) говядина</t>
  </si>
  <si>
    <t>шт.</t>
  </si>
  <si>
    <t>Картофель</t>
  </si>
  <si>
    <t>Овощи, зелень (капуста, морковь, лук)</t>
  </si>
  <si>
    <t>л.</t>
  </si>
  <si>
    <t>Кондитерские изделия (конфеты, печенье)</t>
  </si>
  <si>
    <t>Кофейный напиток (цикорий)</t>
  </si>
  <si>
    <t>Действующий размер платы за присмотр и уход в  день (руб)</t>
  </si>
  <si>
    <r>
      <t>Расчёт затрат на оказание услуги по присмотру и уходу за детьми (С</t>
    </r>
    <r>
      <rPr>
        <vertAlign val="subscript"/>
        <sz val="14"/>
        <rFont val="Times New Roman"/>
        <family val="1"/>
        <charset val="204"/>
      </rPr>
      <t>д</t>
    </r>
    <r>
      <rPr>
        <sz val="14"/>
        <rFont val="Times New Roman"/>
        <family val="1"/>
        <charset val="204"/>
      </rPr>
      <t>), осуществляется  по формуле:</t>
    </r>
  </si>
  <si>
    <r>
      <t>С</t>
    </r>
    <r>
      <rPr>
        <vertAlign val="subscript"/>
        <sz val="14"/>
        <rFont val="Times New Roman"/>
        <family val="1"/>
        <charset val="204"/>
      </rPr>
      <t>д</t>
    </r>
    <r>
      <rPr>
        <sz val="14"/>
        <rFont val="Times New Roman"/>
        <family val="1"/>
        <charset val="204"/>
      </rPr>
      <t xml:space="preserve"> – стоимость одного детодня; </t>
    </r>
  </si>
  <si>
    <t>Спп –затраты на приобретение продуктов питания;</t>
  </si>
  <si>
    <t>Срм–затраты на осуществление  расходов, связанных с приобретением расходных материалов, используемых для обеспечения соблюдения режима дня и личной гигиены детей в соответствии с требованиями санитарной и пожарной безопасности.</t>
  </si>
  <si>
    <t>МДОО сельских поселений с 10,5 часовым пребыванием детей, пользующихся услугами специализированных учреждений, оказывающих услуги по стирке белья</t>
  </si>
  <si>
    <t>№</t>
  </si>
  <si>
    <t>МДОО</t>
  </si>
  <si>
    <t>расчет питания, Спп</t>
  </si>
  <si>
    <t>затраты на осуществление  расходов, связанных с приобретением расходных материалов, используемых для обеспечения соблюдения режима дня и личной гигиены детей в соответствии с требованиями санитарной и пожарной безопасности, Срм</t>
  </si>
  <si>
    <t>Стоимость 1 детодня</t>
  </si>
  <si>
    <t>Стоимость 1 детодня с учетом дефлятора</t>
  </si>
  <si>
    <t>стоимость питания в день в соответствии с СанПиН</t>
  </si>
  <si>
    <t>от 1 г. до 3 л.</t>
  </si>
  <si>
    <t>Стоимость питания от 1 г. до 3 л</t>
  </si>
  <si>
    <t>от 3 до 7 л.</t>
  </si>
  <si>
    <t xml:space="preserve">Стоимость питания от 3 до 7 </t>
  </si>
  <si>
    <t>расходы на мягкий инвентарь</t>
  </si>
  <si>
    <t>расходы на чистящие и моющие средства</t>
  </si>
  <si>
    <t>расходы на посуду</t>
  </si>
  <si>
    <t>расходы на стирку постельного белья</t>
  </si>
  <si>
    <t>затраты на обеспечение расходов на материальные ценности и на содержание движимого имущества, используемых для обеспечения соблюдения режима дня и личной гигиены детей</t>
  </si>
  <si>
    <t>Стоимость затрат на расходные материалы в день</t>
  </si>
  <si>
    <t>к1 (возраст воспитанников)</t>
  </si>
  <si>
    <t>к2 (режим пребывания)</t>
  </si>
  <si>
    <t>к3 (тип населенного пункта)</t>
  </si>
  <si>
    <t>от 3 до 7 л</t>
  </si>
  <si>
    <t>МДОО сельских поселений с 10,5 часовым пребыванием детей, не пользующихся услугами специализированных учреждений, оказывающих услуги по стирке белья</t>
  </si>
  <si>
    <t>МДОО сельских поселений с 12 часовым пребыванием детей, пользующихся услугами специализированных учреждений, оказывающих услуги по стирке белья</t>
  </si>
  <si>
    <t>МДОО сельских поселений с 12 часовым пребыванием детей, не пользующихся услугами специализированных учреждений, оказывающих услуги по стирке белья</t>
  </si>
  <si>
    <t>МДОО сельских поселений с круглосуточным пребыванием детей, не пользующихся услугами специализированных учреждений, оказывающих услуги по стирке белья</t>
  </si>
  <si>
    <t>МДОО городских поселений с 10,5 часовым пребыванием детей, пользующихся услугами специализированных учреждений, оказывающих услуги по стирке белья</t>
  </si>
  <si>
    <t>МДОО городских поселений с 10,5 часовым пребыванием детей, не пользующихся услугами специализированных учреждений, оказывающих услуги по стирке белья</t>
  </si>
  <si>
    <t>Расчет норматива на мягкий инвентарь</t>
  </si>
  <si>
    <t>№ п/п</t>
  </si>
  <si>
    <t>Наименование инвентаря</t>
  </si>
  <si>
    <t>Еденица измерения</t>
  </si>
  <si>
    <t>Количество предметов</t>
  </si>
  <si>
    <t>Срок носки, лет</t>
  </si>
  <si>
    <t>Итого среднегодовое количество в год</t>
  </si>
  <si>
    <t>количество в месяц</t>
  </si>
  <si>
    <t>количество в день</t>
  </si>
  <si>
    <t>Цена руб.</t>
  </si>
  <si>
    <t xml:space="preserve">стоимость на 1 ребенка в день </t>
  </si>
  <si>
    <t>На 1 место</t>
  </si>
  <si>
    <t>Полотенца детские</t>
  </si>
  <si>
    <t>Наволочки верхние</t>
  </si>
  <si>
    <t>Простыни</t>
  </si>
  <si>
    <t>Пододеяльники</t>
  </si>
  <si>
    <t>Подушка</t>
  </si>
  <si>
    <t>Матрас</t>
  </si>
  <si>
    <t>Одеяло тёплое</t>
  </si>
  <si>
    <t>Одеяло байковое</t>
  </si>
  <si>
    <t>ИТОГО</t>
  </si>
  <si>
    <t>количество в день на 1 ребенка</t>
  </si>
  <si>
    <t xml:space="preserve"> На 100 мест</t>
  </si>
  <si>
    <t xml:space="preserve">Скатерти </t>
  </si>
  <si>
    <t xml:space="preserve">Полотенца посудные </t>
  </si>
  <si>
    <t>Клеенка настольная</t>
  </si>
  <si>
    <t>м</t>
  </si>
  <si>
    <t>Материал на халаты, фартуки, косынки, нарукавники для персонала</t>
  </si>
  <si>
    <t>Расчет норматива на моющие и чистящие средства</t>
  </si>
  <si>
    <t>стирка в банно-прачечном</t>
  </si>
  <si>
    <t>Норма на 1 группу в месяц</t>
  </si>
  <si>
    <t>норма на 1 ребенка в месяц</t>
  </si>
  <si>
    <t xml:space="preserve">норма на 1 ребенка в день </t>
  </si>
  <si>
    <t>стиомость на 1 ребенка в день</t>
  </si>
  <si>
    <t>На 1 группу 20 детей</t>
  </si>
  <si>
    <t>Мыло хозяйственное</t>
  </si>
  <si>
    <t>кус.</t>
  </si>
  <si>
    <t>Мыло туалетное</t>
  </si>
  <si>
    <t>Стиральный порошок</t>
  </si>
  <si>
    <t>кг</t>
  </si>
  <si>
    <t>Сода питьевая</t>
  </si>
  <si>
    <t>Моющие средства</t>
  </si>
  <si>
    <t>пач</t>
  </si>
  <si>
    <t>Бумага туалетная</t>
  </si>
  <si>
    <t>Электрические лампы</t>
  </si>
  <si>
    <t>Ткань поковочная для мытья полов</t>
  </si>
  <si>
    <t xml:space="preserve">стирка в саду </t>
  </si>
  <si>
    <t>Расчет норматива на стирку постельного белья</t>
  </si>
  <si>
    <t>Вес 1 комплекта постельного белья (кг)</t>
  </si>
  <si>
    <t>Количество стирок в месяц</t>
  </si>
  <si>
    <t>Стоимость стирки 1 кг белья (руб)</t>
  </si>
  <si>
    <t>Стоимость в месяц на 1 ребенка</t>
  </si>
  <si>
    <t>стоимость в день на 1 ребенка</t>
  </si>
  <si>
    <t>Расчет норматива на посуду</t>
  </si>
  <si>
    <t>среднемесячное количество на 1 ребенка</t>
  </si>
  <si>
    <t xml:space="preserve">Количество в день на 1 ребенка </t>
  </si>
  <si>
    <t>Стоимость в день на 1 ребенка</t>
  </si>
  <si>
    <r>
      <t>Ложка столовая</t>
    </r>
    <r>
      <rPr>
        <sz val="12"/>
        <rFont val="Times New Roman"/>
        <family val="1"/>
        <charset val="204"/>
      </rPr>
      <t xml:space="preserve"> </t>
    </r>
  </si>
  <si>
    <t xml:space="preserve">Ложка чайная
</t>
  </si>
  <si>
    <t xml:space="preserve">Вилка </t>
  </si>
  <si>
    <t>Нож десертный</t>
  </si>
  <si>
    <t>Тарелка суповая</t>
  </si>
  <si>
    <t>Тарелка для вторых блюд</t>
  </si>
  <si>
    <t>Салатник</t>
  </si>
  <si>
    <t>Бокал</t>
  </si>
  <si>
    <t>Итого:</t>
  </si>
  <si>
    <t>Бум. туалетная (набережные челны)</t>
  </si>
  <si>
    <t>Нетканное полотно для мытья полов</t>
  </si>
  <si>
    <t>Расчет цены дня</t>
  </si>
  <si>
    <t>Размер платы с учетом применения индексов дефляторов в  день (руб)</t>
  </si>
  <si>
    <t>Стоимость родительской платы за присмотр и уход с индексом дефлятором 2016г.-106,6%, 2017г.-104,5%</t>
  </si>
  <si>
    <t>Стоимость родительской платы согласно наименованию пищевого продукта или группы пищевых продуктов  (СанПиН 2.4.1.3049-13)</t>
  </si>
  <si>
    <t xml:space="preserve">№ п/п </t>
  </si>
  <si>
    <t xml:space="preserve"> Наименование инвентаря </t>
  </si>
  <si>
    <t xml:space="preserve">Единица измерения </t>
  </si>
  <si>
    <t xml:space="preserve">Количество предметов </t>
  </si>
  <si>
    <t xml:space="preserve"> Срок носки, лет </t>
  </si>
  <si>
    <t xml:space="preserve"> Итого среднегодовое количество в год </t>
  </si>
  <si>
    <t xml:space="preserve"> количество в месяц </t>
  </si>
  <si>
    <t xml:space="preserve"> количество в день </t>
  </si>
  <si>
    <t xml:space="preserve"> Цена руб. </t>
  </si>
  <si>
    <t xml:space="preserve">Стоимость  на 1 ребенка в день  </t>
  </si>
  <si>
    <t xml:space="preserve"> На 1 место </t>
  </si>
  <si>
    <t xml:space="preserve"> Полотенца детские </t>
  </si>
  <si>
    <t xml:space="preserve"> шт. </t>
  </si>
  <si>
    <t xml:space="preserve"> № п/п </t>
  </si>
  <si>
    <t xml:space="preserve">Количество  в месяц </t>
  </si>
  <si>
    <t xml:space="preserve">Количество  в день на 1 ребенка </t>
  </si>
  <si>
    <t>На 100 мест</t>
  </si>
  <si>
    <t>Скатерти</t>
  </si>
  <si>
    <t>Полотенца посудные</t>
  </si>
  <si>
    <t> Итого расходы на мягкий инвентарь </t>
  </si>
  <si>
    <t>МДОО сельских поселений с организацией завтрака или ужина</t>
  </si>
  <si>
    <t>МДОО сельских поселений с организацией 2-го завтрака.</t>
  </si>
  <si>
    <t>МДОО сельских поселений с организацией обеда.</t>
  </si>
  <si>
    <t>МДОО сельских поселений с организацией полдника.</t>
  </si>
  <si>
    <t xml:space="preserve">МДОО городских поселений с организацией завтрака или ужина. </t>
  </si>
  <si>
    <t>МДОО городских поселений с организацией 2-го завтрака.</t>
  </si>
  <si>
    <t xml:space="preserve">МДОО городских поселений с организацией обеда. </t>
  </si>
  <si>
    <t xml:space="preserve">МДОО городских поселений с организацией полдника. </t>
  </si>
  <si>
    <t>группа</t>
  </si>
  <si>
    <t>"Ёлочка" ст. Посольская</t>
  </si>
  <si>
    <t>"Алёнка" с. Кудара</t>
  </si>
  <si>
    <t>МДОО городских поселений с 12 часовым пребыванием детей, пользующихся услугами специализированных учреждений, оказывающих услуги по стирке белья</t>
  </si>
  <si>
    <t>Расчет цены дня присмотр и уход для групп с кратковременным прибыванием детей.</t>
  </si>
  <si>
    <t>Норма продуктов на 1 ребенка. </t>
  </si>
  <si>
    <t xml:space="preserve">Кинф – коэффициент инфляции, устанавливающийся ежегодно Минэкономразвития Российской Федерации. </t>
  </si>
  <si>
    <r>
      <t>С</t>
    </r>
    <r>
      <rPr>
        <vertAlign val="subscript"/>
        <sz val="14"/>
        <rFont val="Times New Roman"/>
        <family val="1"/>
        <charset val="204"/>
      </rPr>
      <t>д</t>
    </r>
    <r>
      <rPr>
        <sz val="14"/>
        <rFont val="Times New Roman"/>
        <family val="1"/>
        <charset val="204"/>
      </rPr>
      <t>= (Спп+Срм)*Кинф ,  где:</t>
    </r>
  </si>
  <si>
    <t xml:space="preserve">Бумага туалетная </t>
  </si>
  <si>
    <t>Сд= (Спп+Срм)*Кинф ,  где:</t>
  </si>
  <si>
    <t>Для групп с кратковременным пребыванием детей</t>
  </si>
  <si>
    <t>МДОО сельских поселений с организацией 2-го завтрака</t>
  </si>
  <si>
    <t>МДОО сельских поселений с организацией обеда</t>
  </si>
  <si>
    <t>МДОО сельских поселений с организацией полдника</t>
  </si>
  <si>
    <t>МДОО городских поселений с организацией завтрака или ужина</t>
  </si>
  <si>
    <t>МДОО городских поселений с организацией 2-го завтрака</t>
  </si>
  <si>
    <t>МДОО городских поселений с организацией обеда</t>
  </si>
  <si>
    <t>МДОО городских поселений с организацией полдника</t>
  </si>
  <si>
    <t>МАДОУ д/с "Теремок" п. Селенгинск</t>
  </si>
  <si>
    <t>МАДОУ д/с "Рябинушка" п. Селенгинск</t>
  </si>
  <si>
    <t>МАДОУ д/с "Лесная сказка" п. Каменск</t>
  </si>
  <si>
    <t>МАДОУ д/с "№ 15" с. Кабанск</t>
  </si>
  <si>
    <t>МАДОУ д/с "Аленушка" п. Селенгинск</t>
  </si>
  <si>
    <t>МАДОУ д/с "Солнышко" п. Каменск</t>
  </si>
  <si>
    <t>МАДОУ д/с "Малышка" с. Выдрино</t>
  </si>
  <si>
    <t>МАДОУ д/с "Снежинка" с. Выдрино</t>
  </si>
  <si>
    <t>МАДОУ д/с "Родничок" с. Выдрино</t>
  </si>
  <si>
    <t xml:space="preserve">МАДОУ д/с "Тополек" г. Бабушкин </t>
  </si>
  <si>
    <t>МАДОУ д/с "Успех" с. Кабанск</t>
  </si>
  <si>
    <t>МАДОУ д/с "Малыш" с. Творогово</t>
  </si>
  <si>
    <t>МАДОУ д/с "Чайка" с. Посольское</t>
  </si>
  <si>
    <t>МАДОУ д/с "Колосок" с. Тресково</t>
  </si>
  <si>
    <t>МАДОУ д/с "Шергино" с. Шергино</t>
  </si>
  <si>
    <t>МАДОУ д/с "Ладушки" с. Оймур</t>
  </si>
  <si>
    <t>МАДОУ д/с "Ёлочка" ст. Посольская</t>
  </si>
  <si>
    <t>МАДОУ д/с "Колокольчик" с. Береговая</t>
  </si>
  <si>
    <t>МАДОУ д/с "Алёнка" с. Кудара</t>
  </si>
  <si>
    <t>Наименование</t>
  </si>
  <si>
    <t>действующий размер платы согласно СанПиН в  день (руб) 2019 г.</t>
  </si>
  <si>
    <t>Предлагаемый размер платы согласно СанПиН в день (руб) 2019 г. с 01.09.2021</t>
  </si>
  <si>
    <t xml:space="preserve"> Темп роста (снижение) 2021 г. к 2019 г. (%)</t>
  </si>
  <si>
    <t>прирост  2021 г. к 2019 г. (руб.) в день</t>
  </si>
  <si>
    <t>Среднее значение стоимости родительской платы согласно наименованию пищевого продукта или группы пищевых продуктов   (СанПиН 2.4.1.3049-13)</t>
  </si>
  <si>
    <t>Приложение 2</t>
  </si>
  <si>
    <t>27/27/26</t>
  </si>
  <si>
    <t>Размер платы согласно СанПиН в  день (руб), зависимость от индексации МРОТ с 2019 до 2021 гг</t>
  </si>
  <si>
    <t>Размер платы согласно СанПиН в день (руб),  (Продукты, инвентарь)</t>
  </si>
  <si>
    <t>Размер платы согласно СанПиН в день (руб), (продукты)</t>
  </si>
  <si>
    <t xml:space="preserve">Расчет цены дня на 2024 год согласно Приложению N 10  к СанПиН 2.4.1.3049-13 </t>
  </si>
  <si>
    <t>Расчеты родительской платы в МДОО Кабанского района в 2024г.</t>
  </si>
  <si>
    <t>брутто</t>
  </si>
  <si>
    <t>нетто</t>
  </si>
  <si>
    <t>1-3года</t>
  </si>
  <si>
    <t>3-7лет</t>
  </si>
  <si>
    <t>ед.изм.</t>
  </si>
  <si>
    <t>,</t>
  </si>
  <si>
    <t>Расчеты родительской платы групп с кратковременным пребыванием детей Кабанского района в 2024г.</t>
  </si>
  <si>
    <t>Предлагаемый размер платы согласно СанПиН в день (руб) 2024 г. с 01.02.2024 (Продукты, инвентарь)</t>
  </si>
  <si>
    <t xml:space="preserve"> Темп роста (снижение) 2024 г. к 2023 г. (%)</t>
  </si>
  <si>
    <t>2024год</t>
  </si>
  <si>
    <t>2022год</t>
  </si>
  <si>
    <t>Темп роста, %</t>
  </si>
  <si>
    <t>Увеличение</t>
  </si>
  <si>
    <t>Цеа за 1 ед. измерения</t>
  </si>
  <si>
    <t>Анализ роста цен</t>
  </si>
  <si>
    <t>прирост  2024 г. к 2023 г. (руб.) в день</t>
  </si>
  <si>
    <r>
      <t xml:space="preserve">Предлагаемый размер платы согласно СанПиН в день (руб) с 01.02.2024 </t>
    </r>
    <r>
      <rPr>
        <b/>
        <sz val="11"/>
        <color theme="1"/>
        <rFont val="Times New Roman"/>
        <family val="1"/>
        <charset val="204"/>
      </rPr>
      <t>(продукты)</t>
    </r>
  </si>
  <si>
    <r>
      <t>Размер платы согласно СанПиН в день (руб) 2023 г.</t>
    </r>
    <r>
      <rPr>
        <b/>
        <sz val="11"/>
        <color theme="1"/>
        <rFont val="Times New Roman"/>
        <family val="1"/>
        <charset val="204"/>
      </rPr>
      <t xml:space="preserve"> (продукты)</t>
    </r>
  </si>
  <si>
    <t>Предполагаемый размер платы на прочие затратысогласно СанПиН в день (руб) 2024 г</t>
  </si>
  <si>
    <r>
      <t xml:space="preserve">Предлагаемый размер платы согласно СанПиН в день (руб) с 01.02.2024 </t>
    </r>
    <r>
      <rPr>
        <b/>
        <sz val="11"/>
        <color theme="1"/>
        <rFont val="Times New Roman"/>
        <family val="1"/>
        <charset val="204"/>
      </rPr>
      <t>(увеличение на 18,5 % с учетом индексации МРОТ с 01.01.2024)</t>
    </r>
  </si>
  <si>
    <t xml:space="preserve"> Темп роста (снижение) 2024 г. к 2023г. (%)</t>
  </si>
  <si>
    <t>прирост</t>
  </si>
  <si>
    <t xml:space="preserve"> Темп роста (снижение) т 2024 г. к 2023 г. (%), прирост руб.</t>
  </si>
  <si>
    <t xml:space="preserve">темп роста </t>
  </si>
  <si>
    <t>увеличено на мрот</t>
  </si>
  <si>
    <t>темп</t>
  </si>
  <si>
    <t>Установленный размер платы на прочие затраты согласно СанПиН в день (руб) 2023 г</t>
  </si>
  <si>
    <r>
      <rPr>
        <u/>
        <sz val="11"/>
        <rFont val="Times New Roman"/>
        <family val="1"/>
        <charset val="204"/>
      </rPr>
      <t>Расчет затрат на материальные ценности.</t>
    </r>
    <r>
      <rPr>
        <sz val="11"/>
        <rFont val="Times New Roman"/>
        <family val="1"/>
        <charset val="204"/>
      </rPr>
      <t xml:space="preserve"> Согласно утвержденной методике расходы на материальные ценности и на содержание движимого имущества не должны превышать 40 % от затрат на мягкий инвентарь, чистящие и моющие средства, посуду и стирку постельного белья. (5,58+2,29+7,7+1,74)*40% = 6,93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</si>
</sst>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  <numFmt numFmtId="166" formatCode="_(* #,##0.00_);_(* \(#,##0.00\);_(* &quot;-&quot;??_);_(@_)"/>
    <numFmt numFmtId="167" formatCode="#,##0.0000"/>
    <numFmt numFmtId="168" formatCode="_-* #,##0\ _₽_-;\-* #,##0\ _₽_-;_-* &quot;-&quot;??\ _₽_-;_-@_-"/>
    <numFmt numFmtId="169" formatCode="_(* #,##0.0_);_(* \(#,##0.0\);_(* &quot;-&quot;??_);_(@_)"/>
    <numFmt numFmtId="170" formatCode="0.0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vertAlign val="subscript"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name val="Arial"/>
      <family val="2"/>
    </font>
    <font>
      <b/>
      <sz val="12"/>
      <color rgb="FF332E2D"/>
      <name val="Times New Roman"/>
      <family val="1"/>
      <charset val="204"/>
    </font>
    <font>
      <sz val="12"/>
      <color rgb="FF332E2D"/>
      <name val="Times New Roman"/>
      <family val="1"/>
      <charset val="204"/>
    </font>
    <font>
      <sz val="10"/>
      <color theme="1"/>
      <name val="Arial"/>
      <family val="2"/>
    </font>
    <font>
      <sz val="11"/>
      <color rgb="FFFF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0">
    <xf numFmtId="0" fontId="0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" applyNumberFormat="0" applyAlignment="0" applyProtection="0"/>
    <xf numFmtId="0" fontId="6" fillId="21" borderId="2" applyNumberFormat="0" applyAlignment="0" applyProtection="0"/>
    <xf numFmtId="0" fontId="7" fillId="21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2" borderId="7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2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" applyNumberFormat="0" applyAlignment="0" applyProtection="0"/>
    <xf numFmtId="0" fontId="6" fillId="21" borderId="2" applyNumberFormat="0" applyAlignment="0" applyProtection="0"/>
    <xf numFmtId="0" fontId="7" fillId="21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2" borderId="7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9" fillId="5" borderId="0" applyNumberFormat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" applyNumberFormat="0" applyAlignment="0" applyProtection="0"/>
    <xf numFmtId="0" fontId="6" fillId="21" borderId="2" applyNumberFormat="0" applyAlignment="0" applyProtection="0"/>
    <xf numFmtId="0" fontId="7" fillId="21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2" borderId="7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24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166" fontId="23" fillId="0" borderId="0" applyFont="0" applyFill="0" applyBorder="0" applyAlignment="0" applyProtection="0"/>
    <xf numFmtId="0" fontId="43" fillId="0" borderId="0"/>
    <xf numFmtId="43" fontId="1" fillId="0" borderId="0" applyFont="0" applyFill="0" applyBorder="0" applyAlignment="0" applyProtection="0"/>
    <xf numFmtId="0" fontId="43" fillId="0" borderId="0"/>
    <xf numFmtId="9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2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0" fontId="5" fillId="8" borderId="76" applyNumberFormat="0" applyAlignment="0" applyProtection="0"/>
    <xf numFmtId="0" fontId="6" fillId="21" borderId="77" applyNumberFormat="0" applyAlignment="0" applyProtection="0"/>
    <xf numFmtId="0" fontId="7" fillId="21" borderId="76" applyNumberFormat="0" applyAlignment="0" applyProtection="0"/>
    <xf numFmtId="0" fontId="11" fillId="0" borderId="78" applyNumberFormat="0" applyFill="0" applyAlignment="0" applyProtection="0"/>
    <xf numFmtId="0" fontId="3" fillId="24" borderId="79" applyNumberFormat="0" applyFont="0" applyAlignment="0" applyProtection="0"/>
    <xf numFmtId="0" fontId="5" fillId="8" borderId="76" applyNumberFormat="0" applyAlignment="0" applyProtection="0"/>
    <xf numFmtId="0" fontId="6" fillId="21" borderId="77" applyNumberFormat="0" applyAlignment="0" applyProtection="0"/>
    <xf numFmtId="0" fontId="7" fillId="21" borderId="76" applyNumberFormat="0" applyAlignment="0" applyProtection="0"/>
    <xf numFmtId="0" fontId="11" fillId="0" borderId="78" applyNumberFormat="0" applyFill="0" applyAlignment="0" applyProtection="0"/>
    <xf numFmtId="0" fontId="2" fillId="24" borderId="79" applyNumberFormat="0" applyFont="0" applyAlignment="0" applyProtection="0"/>
    <xf numFmtId="0" fontId="5" fillId="8" borderId="76" applyNumberFormat="0" applyAlignment="0" applyProtection="0"/>
    <xf numFmtId="0" fontId="6" fillId="21" borderId="77" applyNumberFormat="0" applyAlignment="0" applyProtection="0"/>
    <xf numFmtId="0" fontId="7" fillId="21" borderId="76" applyNumberFormat="0" applyAlignment="0" applyProtection="0"/>
    <xf numFmtId="0" fontId="11" fillId="0" borderId="78" applyNumberFormat="0" applyFill="0" applyAlignment="0" applyProtection="0"/>
    <xf numFmtId="0" fontId="3" fillId="24" borderId="79" applyNumberFormat="0" applyFont="0" applyAlignment="0" applyProtection="0"/>
    <xf numFmtId="0" fontId="11" fillId="0" borderId="85" applyNumberFormat="0" applyFill="0" applyAlignment="0" applyProtection="0"/>
    <xf numFmtId="0" fontId="6" fillId="21" borderId="88" applyNumberFormat="0" applyAlignment="0" applyProtection="0"/>
    <xf numFmtId="0" fontId="7" fillId="21" borderId="83" applyNumberFormat="0" applyAlignment="0" applyProtection="0"/>
    <xf numFmtId="0" fontId="7" fillId="21" borderId="83" applyNumberFormat="0" applyAlignment="0" applyProtection="0"/>
    <xf numFmtId="0" fontId="11" fillId="0" borderId="89" applyNumberFormat="0" applyFill="0" applyAlignment="0" applyProtection="0"/>
    <xf numFmtId="0" fontId="11" fillId="0" borderId="89" applyNumberFormat="0" applyFill="0" applyAlignment="0" applyProtection="0"/>
    <xf numFmtId="0" fontId="5" fillId="8" borderId="87" applyNumberFormat="0" applyAlignment="0" applyProtection="0"/>
    <xf numFmtId="0" fontId="7" fillId="21" borderId="87" applyNumberFormat="0" applyAlignment="0" applyProtection="0"/>
    <xf numFmtId="0" fontId="7" fillId="21" borderId="87" applyNumberFormat="0" applyAlignment="0" applyProtection="0"/>
    <xf numFmtId="0" fontId="3" fillId="24" borderId="86" applyNumberFormat="0" applyFont="0" applyAlignment="0" applyProtection="0"/>
    <xf numFmtId="0" fontId="11" fillId="0" borderId="85" applyNumberFormat="0" applyFill="0" applyAlignment="0" applyProtection="0"/>
    <xf numFmtId="0" fontId="6" fillId="21" borderId="84" applyNumberFormat="0" applyAlignment="0" applyProtection="0"/>
    <xf numFmtId="0" fontId="5" fillId="8" borderId="87" applyNumberFormat="0" applyAlignment="0" applyProtection="0"/>
    <xf numFmtId="0" fontId="2" fillId="24" borderId="86" applyNumberFormat="0" applyFont="0" applyAlignment="0" applyProtection="0"/>
    <xf numFmtId="0" fontId="11" fillId="0" borderId="89" applyNumberFormat="0" applyFill="0" applyAlignment="0" applyProtection="0"/>
    <xf numFmtId="0" fontId="11" fillId="0" borderId="85" applyNumberFormat="0" applyFill="0" applyAlignment="0" applyProtection="0"/>
    <xf numFmtId="0" fontId="6" fillId="21" borderId="84" applyNumberFormat="0" applyAlignment="0" applyProtection="0"/>
    <xf numFmtId="0" fontId="6" fillId="21" borderId="88" applyNumberFormat="0" applyAlignment="0" applyProtection="0"/>
    <xf numFmtId="0" fontId="3" fillId="24" borderId="86" applyNumberFormat="0" applyFont="0" applyAlignment="0" applyProtection="0"/>
    <xf numFmtId="0" fontId="7" fillId="21" borderId="87" applyNumberFormat="0" applyAlignment="0" applyProtection="0"/>
    <xf numFmtId="0" fontId="5" fillId="8" borderId="83" applyNumberFormat="0" applyAlignment="0" applyProtection="0"/>
    <xf numFmtId="0" fontId="6" fillId="21" borderId="84" applyNumberFormat="0" applyAlignment="0" applyProtection="0"/>
    <xf numFmtId="0" fontId="5" fillId="8" borderId="87" applyNumberFormat="0" applyAlignment="0" applyProtection="0"/>
    <xf numFmtId="0" fontId="5" fillId="8" borderId="83" applyNumberFormat="0" applyAlignment="0" applyProtection="0"/>
    <xf numFmtId="0" fontId="3" fillId="24" borderId="90" applyNumberFormat="0" applyFont="0" applyAlignment="0" applyProtection="0"/>
    <xf numFmtId="0" fontId="5" fillId="8" borderId="83" applyNumberFormat="0" applyAlignment="0" applyProtection="0"/>
    <xf numFmtId="0" fontId="2" fillId="24" borderId="90" applyNumberFormat="0" applyFont="0" applyAlignment="0" applyProtection="0"/>
    <xf numFmtId="0" fontId="3" fillId="24" borderId="90" applyNumberFormat="0" applyFont="0" applyAlignment="0" applyProtection="0"/>
    <xf numFmtId="0" fontId="6" fillId="21" borderId="88" applyNumberFormat="0" applyAlignment="0" applyProtection="0"/>
    <xf numFmtId="0" fontId="7" fillId="21" borderId="83" applyNumberFormat="0" applyAlignment="0" applyProtection="0"/>
  </cellStyleXfs>
  <cellXfs count="515">
    <xf numFmtId="0" fontId="0" fillId="0" borderId="0" xfId="0"/>
    <xf numFmtId="0" fontId="20" fillId="0" borderId="0" xfId="134" applyFont="1"/>
    <xf numFmtId="0" fontId="24" fillId="0" borderId="0" xfId="134" applyFont="1" applyAlignment="1">
      <alignment horizontal="center"/>
    </xf>
    <xf numFmtId="0" fontId="20" fillId="25" borderId="38" xfId="134" applyFont="1" applyFill="1" applyBorder="1" applyAlignment="1">
      <alignment horizontal="center" vertical="center" wrapText="1"/>
    </xf>
    <xf numFmtId="0" fontId="20" fillId="0" borderId="14" xfId="134" applyFont="1" applyBorder="1" applyAlignment="1">
      <alignment horizontal="center" vertical="center" wrapText="1"/>
    </xf>
    <xf numFmtId="0" fontId="20" fillId="0" borderId="16" xfId="134" applyFont="1" applyBorder="1" applyAlignment="1">
      <alignment horizontal="center" vertical="center" wrapText="1"/>
    </xf>
    <xf numFmtId="1" fontId="20" fillId="0" borderId="21" xfId="135" applyNumberFormat="1" applyFont="1" applyBorder="1" applyAlignment="1">
      <alignment horizontal="center" vertical="center"/>
    </xf>
    <xf numFmtId="0" fontId="20" fillId="0" borderId="19" xfId="134" applyFont="1" applyBorder="1" applyAlignment="1">
      <alignment horizontal="center" vertical="center"/>
    </xf>
    <xf numFmtId="1" fontId="20" fillId="25" borderId="19" xfId="134" applyNumberFormat="1" applyFont="1" applyFill="1" applyBorder="1" applyAlignment="1">
      <alignment horizontal="center" vertical="center"/>
    </xf>
    <xf numFmtId="1" fontId="20" fillId="25" borderId="22" xfId="134" applyNumberFormat="1" applyFont="1" applyFill="1" applyBorder="1" applyAlignment="1">
      <alignment horizontal="center" vertical="center"/>
    </xf>
    <xf numFmtId="0" fontId="20" fillId="0" borderId="29" xfId="134" applyFont="1" applyBorder="1" applyAlignment="1">
      <alignment horizontal="center" vertical="center"/>
    </xf>
    <xf numFmtId="1" fontId="20" fillId="25" borderId="37" xfId="134" applyNumberFormat="1" applyFont="1" applyFill="1" applyBorder="1" applyAlignment="1">
      <alignment horizontal="center" vertical="center"/>
    </xf>
    <xf numFmtId="1" fontId="20" fillId="25" borderId="21" xfId="134" applyNumberFormat="1" applyFont="1" applyFill="1" applyBorder="1" applyAlignment="1">
      <alignment horizontal="center" vertical="center"/>
    </xf>
    <xf numFmtId="1" fontId="20" fillId="0" borderId="22" xfId="134" applyNumberFormat="1" applyFont="1" applyBorder="1" applyAlignment="1">
      <alignment horizontal="center"/>
    </xf>
    <xf numFmtId="0" fontId="20" fillId="0" borderId="10" xfId="134" applyFont="1" applyBorder="1" applyAlignment="1">
      <alignment horizontal="center" vertical="center"/>
    </xf>
    <xf numFmtId="1" fontId="20" fillId="0" borderId="12" xfId="134" applyNumberFormat="1" applyFont="1" applyBorder="1" applyAlignment="1">
      <alignment horizontal="center"/>
    </xf>
    <xf numFmtId="1" fontId="20" fillId="0" borderId="13" xfId="134" applyNumberFormat="1" applyFont="1" applyBorder="1" applyAlignment="1">
      <alignment horizontal="center"/>
    </xf>
    <xf numFmtId="0" fontId="20" fillId="0" borderId="15" xfId="134" applyFont="1" applyBorder="1" applyAlignment="1">
      <alignment horizontal="center" vertical="center"/>
    </xf>
    <xf numFmtId="0" fontId="20" fillId="0" borderId="49" xfId="134" applyFont="1" applyBorder="1" applyAlignment="1">
      <alignment horizontal="center" vertical="center"/>
    </xf>
    <xf numFmtId="1" fontId="20" fillId="0" borderId="14" xfId="134" applyNumberFormat="1" applyFont="1" applyBorder="1" applyAlignment="1">
      <alignment horizontal="center"/>
    </xf>
    <xf numFmtId="1" fontId="20" fillId="0" borderId="16" xfId="134" applyNumberFormat="1" applyFont="1" applyBorder="1" applyAlignment="1">
      <alignment horizontal="center"/>
    </xf>
    <xf numFmtId="0" fontId="20" fillId="25" borderId="31" xfId="134" applyFont="1" applyFill="1" applyBorder="1" applyAlignment="1">
      <alignment horizontal="center" vertical="center" wrapText="1"/>
    </xf>
    <xf numFmtId="0" fontId="20" fillId="0" borderId="46" xfId="134" applyFont="1" applyBorder="1" applyAlignment="1">
      <alignment horizontal="center" vertical="center" wrapText="1"/>
    </xf>
    <xf numFmtId="0" fontId="20" fillId="0" borderId="54" xfId="134" applyFont="1" applyBorder="1" applyAlignment="1">
      <alignment horizontal="center" vertical="center" wrapText="1"/>
    </xf>
    <xf numFmtId="0" fontId="20" fillId="0" borderId="55" xfId="135" applyFont="1" applyBorder="1" applyAlignment="1">
      <alignment horizontal="center" vertical="top"/>
    </xf>
    <xf numFmtId="4" fontId="20" fillId="0" borderId="34" xfId="135" applyNumberFormat="1" applyFont="1" applyBorder="1" applyAlignment="1">
      <alignment horizontal="left" vertical="top"/>
    </xf>
    <xf numFmtId="1" fontId="20" fillId="0" borderId="51" xfId="134" applyNumberFormat="1" applyFont="1" applyBorder="1" applyAlignment="1">
      <alignment horizontal="center"/>
    </xf>
    <xf numFmtId="1" fontId="20" fillId="0" borderId="53" xfId="134" applyNumberFormat="1" applyFont="1" applyBorder="1" applyAlignment="1">
      <alignment horizontal="center"/>
    </xf>
    <xf numFmtId="0" fontId="20" fillId="25" borderId="16" xfId="134" applyFont="1" applyFill="1" applyBorder="1" applyAlignment="1">
      <alignment horizontal="center" vertical="center" wrapText="1"/>
    </xf>
    <xf numFmtId="0" fontId="20" fillId="0" borderId="36" xfId="135" applyFont="1" applyBorder="1" applyAlignment="1">
      <alignment horizontal="center" vertical="top"/>
    </xf>
    <xf numFmtId="4" fontId="20" fillId="0" borderId="35" xfId="135" applyNumberFormat="1" applyFont="1" applyBorder="1" applyAlignment="1">
      <alignment horizontal="left" vertical="top"/>
    </xf>
    <xf numFmtId="0" fontId="20" fillId="0" borderId="52" xfId="134" applyFont="1" applyBorder="1" applyAlignment="1">
      <alignment horizontal="center" vertical="center"/>
    </xf>
    <xf numFmtId="0" fontId="20" fillId="0" borderId="0" xfId="134" applyFont="1" applyAlignment="1">
      <alignment horizontal="center"/>
    </xf>
    <xf numFmtId="0" fontId="20" fillId="25" borderId="31" xfId="134" applyFont="1" applyFill="1" applyBorder="1" applyAlignment="1">
      <alignment vertical="center" wrapText="1"/>
    </xf>
    <xf numFmtId="0" fontId="20" fillId="25" borderId="16" xfId="134" applyFont="1" applyFill="1" applyBorder="1" applyAlignment="1">
      <alignment vertical="center" wrapText="1"/>
    </xf>
    <xf numFmtId="0" fontId="20" fillId="0" borderId="0" xfId="135" applyFont="1" applyAlignment="1">
      <alignment horizontal="center" vertical="top"/>
    </xf>
    <xf numFmtId="4" fontId="20" fillId="0" borderId="0" xfId="135" applyNumberFormat="1" applyFont="1" applyAlignment="1">
      <alignment horizontal="left" vertical="top"/>
    </xf>
    <xf numFmtId="1" fontId="20" fillId="0" borderId="0" xfId="135" applyNumberFormat="1" applyFont="1" applyAlignment="1">
      <alignment horizontal="center" vertical="top"/>
    </xf>
    <xf numFmtId="0" fontId="20" fillId="0" borderId="24" xfId="135" applyFont="1" applyBorder="1" applyAlignment="1">
      <alignment horizontal="center" vertical="top"/>
    </xf>
    <xf numFmtId="4" fontId="20" fillId="0" borderId="25" xfId="135" applyNumberFormat="1" applyFont="1" applyBorder="1" applyAlignment="1">
      <alignment horizontal="left" vertical="top"/>
    </xf>
    <xf numFmtId="1" fontId="20" fillId="0" borderId="41" xfId="135" applyNumberFormat="1" applyFont="1" applyBorder="1" applyAlignment="1">
      <alignment horizontal="center" vertical="center"/>
    </xf>
    <xf numFmtId="0" fontId="20" fillId="0" borderId="42" xfId="134" applyFont="1" applyBorder="1" applyAlignment="1">
      <alignment horizontal="center" vertical="center"/>
    </xf>
    <xf numFmtId="1" fontId="20" fillId="25" borderId="42" xfId="134" applyNumberFormat="1" applyFont="1" applyFill="1" applyBorder="1" applyAlignment="1">
      <alignment horizontal="center" vertical="center"/>
    </xf>
    <xf numFmtId="1" fontId="20" fillId="25" borderId="43" xfId="134" applyNumberFormat="1" applyFont="1" applyFill="1" applyBorder="1" applyAlignment="1">
      <alignment horizontal="center" vertical="center"/>
    </xf>
    <xf numFmtId="1" fontId="20" fillId="25" borderId="40" xfId="134" applyNumberFormat="1" applyFont="1" applyFill="1" applyBorder="1" applyAlignment="1">
      <alignment horizontal="center" vertical="center"/>
    </xf>
    <xf numFmtId="1" fontId="20" fillId="25" borderId="41" xfId="134" applyNumberFormat="1" applyFont="1" applyFill="1" applyBorder="1" applyAlignment="1">
      <alignment horizontal="center" vertical="center"/>
    </xf>
    <xf numFmtId="1" fontId="20" fillId="0" borderId="17" xfId="134" applyNumberFormat="1" applyFont="1" applyBorder="1" applyAlignment="1">
      <alignment horizontal="center"/>
    </xf>
    <xf numFmtId="1" fontId="20" fillId="0" borderId="20" xfId="134" applyNumberFormat="1" applyFont="1" applyBorder="1" applyAlignment="1">
      <alignment horizontal="center"/>
    </xf>
    <xf numFmtId="0" fontId="20" fillId="0" borderId="27" xfId="135" applyFont="1" applyBorder="1" applyAlignment="1">
      <alignment horizontal="center" vertical="top"/>
    </xf>
    <xf numFmtId="4" fontId="20" fillId="0" borderId="26" xfId="135" applyNumberFormat="1" applyFont="1" applyBorder="1" applyAlignment="1">
      <alignment horizontal="left" vertical="top"/>
    </xf>
    <xf numFmtId="0" fontId="20" fillId="0" borderId="23" xfId="134" applyFont="1" applyBorder="1" applyAlignment="1">
      <alignment horizontal="center" vertical="center"/>
    </xf>
    <xf numFmtId="0" fontId="20" fillId="0" borderId="18" xfId="135" applyFont="1" applyBorder="1" applyAlignment="1">
      <alignment horizontal="center" vertical="top"/>
    </xf>
    <xf numFmtId="166" fontId="27" fillId="0" borderId="0" xfId="136" applyFont="1" applyBorder="1" applyAlignment="1">
      <alignment vertical="center" wrapText="1"/>
    </xf>
    <xf numFmtId="166" fontId="20" fillId="0" borderId="0" xfId="136" applyFont="1" applyAlignment="1">
      <alignment vertical="center" wrapText="1"/>
    </xf>
    <xf numFmtId="166" fontId="27" fillId="0" borderId="0" xfId="136" applyFont="1" applyBorder="1" applyAlignment="1">
      <alignment horizontal="center" vertical="center" wrapText="1"/>
    </xf>
    <xf numFmtId="166" fontId="30" fillId="0" borderId="17" xfId="136" applyFont="1" applyBorder="1" applyAlignment="1">
      <alignment horizontal="center" vertical="center" wrapText="1"/>
    </xf>
    <xf numFmtId="166" fontId="30" fillId="0" borderId="42" xfId="136" applyFont="1" applyBorder="1" applyAlignment="1">
      <alignment horizontal="center" vertical="center" wrapText="1"/>
    </xf>
    <xf numFmtId="166" fontId="30" fillId="0" borderId="20" xfId="136" applyFont="1" applyBorder="1" applyAlignment="1">
      <alignment horizontal="center" vertical="center" wrapText="1"/>
    </xf>
    <xf numFmtId="166" fontId="30" fillId="0" borderId="0" xfId="136" applyFont="1" applyBorder="1" applyAlignment="1">
      <alignment horizontal="center" vertical="center" wrapText="1"/>
    </xf>
    <xf numFmtId="166" fontId="20" fillId="0" borderId="0" xfId="136" applyFont="1" applyBorder="1" applyAlignment="1">
      <alignment vertical="center" wrapText="1"/>
    </xf>
    <xf numFmtId="0" fontId="20" fillId="0" borderId="12" xfId="136" applyNumberFormat="1" applyFont="1" applyBorder="1" applyAlignment="1">
      <alignment vertical="center" wrapText="1"/>
    </xf>
    <xf numFmtId="166" fontId="20" fillId="0" borderId="10" xfId="136" applyFont="1" applyBorder="1" applyAlignment="1">
      <alignment vertical="center" wrapText="1"/>
    </xf>
    <xf numFmtId="166" fontId="20" fillId="0" borderId="10" xfId="136" applyFont="1" applyBorder="1" applyAlignment="1">
      <alignment horizontal="center" vertical="center" wrapText="1"/>
    </xf>
    <xf numFmtId="0" fontId="20" fillId="0" borderId="10" xfId="136" applyNumberFormat="1" applyFont="1" applyBorder="1" applyAlignment="1">
      <alignment horizontal="center" vertical="center" wrapText="1"/>
    </xf>
    <xf numFmtId="2" fontId="20" fillId="0" borderId="10" xfId="136" applyNumberFormat="1" applyFont="1" applyBorder="1" applyAlignment="1">
      <alignment horizontal="center" vertical="center" wrapText="1"/>
    </xf>
    <xf numFmtId="165" fontId="20" fillId="0" borderId="10" xfId="136" applyNumberFormat="1" applyFont="1" applyBorder="1" applyAlignment="1">
      <alignment horizontal="center" vertical="center" wrapText="1"/>
    </xf>
    <xf numFmtId="166" fontId="20" fillId="0" borderId="13" xfId="136" applyFont="1" applyBorder="1" applyAlignment="1">
      <alignment vertical="center" wrapText="1"/>
    </xf>
    <xf numFmtId="1" fontId="20" fillId="0" borderId="0" xfId="136" applyNumberFormat="1" applyFont="1" applyBorder="1" applyAlignment="1">
      <alignment vertical="center" wrapText="1"/>
    </xf>
    <xf numFmtId="166" fontId="21" fillId="0" borderId="0" xfId="136" applyFont="1" applyBorder="1" applyAlignment="1">
      <alignment vertical="center" wrapText="1"/>
    </xf>
    <xf numFmtId="166" fontId="30" fillId="0" borderId="12" xfId="136" applyFont="1" applyBorder="1" applyAlignment="1">
      <alignment horizontal="center" vertical="center" wrapText="1"/>
    </xf>
    <xf numFmtId="166" fontId="30" fillId="0" borderId="10" xfId="136" applyFont="1" applyBorder="1" applyAlignment="1">
      <alignment horizontal="center" vertical="center" wrapText="1"/>
    </xf>
    <xf numFmtId="166" fontId="30" fillId="0" borderId="13" xfId="136" applyFont="1" applyBorder="1" applyAlignment="1">
      <alignment horizontal="center" vertical="center" wrapText="1"/>
    </xf>
    <xf numFmtId="0" fontId="31" fillId="0" borderId="0" xfId="135" applyFont="1" applyAlignment="1">
      <alignment vertical="top" wrapText="1"/>
    </xf>
    <xf numFmtId="0" fontId="32" fillId="0" borderId="19" xfId="135" applyFont="1" applyBorder="1" applyAlignment="1">
      <alignment vertical="top" wrapText="1"/>
    </xf>
    <xf numFmtId="0" fontId="32" fillId="0" borderId="10" xfId="135" applyFont="1" applyBorder="1" applyAlignment="1">
      <alignment horizontal="center" vertical="top"/>
    </xf>
    <xf numFmtId="0" fontId="32" fillId="0" borderId="10" xfId="135" applyFont="1" applyBorder="1" applyAlignment="1">
      <alignment vertical="top"/>
    </xf>
    <xf numFmtId="2" fontId="32" fillId="0" borderId="10" xfId="135" applyNumberFormat="1" applyFont="1" applyBorder="1" applyAlignment="1">
      <alignment horizontal="center" vertical="top"/>
    </xf>
    <xf numFmtId="165" fontId="32" fillId="0" borderId="10" xfId="135" applyNumberFormat="1" applyFont="1" applyBorder="1" applyAlignment="1">
      <alignment horizontal="center" vertical="top"/>
    </xf>
    <xf numFmtId="166" fontId="20" fillId="0" borderId="0" xfId="136" applyFont="1" applyBorder="1"/>
    <xf numFmtId="1" fontId="20" fillId="0" borderId="0" xfId="135" applyNumberFormat="1" applyFont="1"/>
    <xf numFmtId="0" fontId="20" fillId="0" borderId="0" xfId="135" applyFont="1"/>
    <xf numFmtId="0" fontId="32" fillId="0" borderId="10" xfId="135" applyFont="1" applyBorder="1" applyAlignment="1">
      <alignment vertical="top" wrapText="1"/>
    </xf>
    <xf numFmtId="0" fontId="32" fillId="0" borderId="10" xfId="135" applyFont="1" applyBorder="1" applyAlignment="1">
      <alignment horizontal="center" vertical="center"/>
    </xf>
    <xf numFmtId="0" fontId="32" fillId="0" borderId="10" xfId="135" applyFont="1" applyBorder="1" applyAlignment="1">
      <alignment vertical="center"/>
    </xf>
    <xf numFmtId="0" fontId="20" fillId="0" borderId="10" xfId="135" applyFont="1" applyBorder="1" applyAlignment="1">
      <alignment vertical="top"/>
    </xf>
    <xf numFmtId="166" fontId="21" fillId="0" borderId="13" xfId="136" applyFont="1" applyBorder="1" applyAlignment="1">
      <alignment vertical="top"/>
    </xf>
    <xf numFmtId="166" fontId="21" fillId="0" borderId="0" xfId="136" applyFont="1" applyBorder="1" applyAlignment="1">
      <alignment vertical="top"/>
    </xf>
    <xf numFmtId="166" fontId="30" fillId="0" borderId="14" xfId="136" applyFont="1" applyBorder="1" applyAlignment="1">
      <alignment horizontal="center" vertical="center" wrapText="1"/>
    </xf>
    <xf numFmtId="166" fontId="30" fillId="0" borderId="15" xfId="136" applyFont="1" applyBorder="1" applyAlignment="1">
      <alignment horizontal="center" vertical="center" wrapText="1"/>
    </xf>
    <xf numFmtId="1" fontId="23" fillId="0" borderId="0" xfId="135" applyNumberFormat="1"/>
    <xf numFmtId="0" fontId="23" fillId="0" borderId="0" xfId="135"/>
    <xf numFmtId="4" fontId="30" fillId="0" borderId="0" xfId="136" applyNumberFormat="1" applyFont="1" applyBorder="1" applyAlignment="1">
      <alignment horizontal="center" vertical="center" wrapText="1"/>
    </xf>
    <xf numFmtId="1" fontId="20" fillId="0" borderId="0" xfId="136" applyNumberFormat="1" applyFont="1" applyAlignment="1">
      <alignment vertical="center" wrapText="1"/>
    </xf>
    <xf numFmtId="0" fontId="33" fillId="0" borderId="42" xfId="135" applyFont="1" applyBorder="1" applyAlignment="1">
      <alignment horizontal="center" vertical="top" wrapText="1"/>
    </xf>
    <xf numFmtId="166" fontId="30" fillId="0" borderId="41" xfId="136" applyFont="1" applyBorder="1" applyAlignment="1">
      <alignment horizontal="center" vertical="center" wrapText="1"/>
    </xf>
    <xf numFmtId="166" fontId="30" fillId="0" borderId="40" xfId="136" applyFont="1" applyBorder="1" applyAlignment="1">
      <alignment horizontal="center" vertical="center" wrapText="1"/>
    </xf>
    <xf numFmtId="1" fontId="30" fillId="0" borderId="0" xfId="136" applyNumberFormat="1" applyFont="1" applyBorder="1" applyAlignment="1">
      <alignment horizontal="center" vertical="center" wrapText="1"/>
    </xf>
    <xf numFmtId="166" fontId="20" fillId="0" borderId="12" xfId="136" applyFont="1" applyBorder="1" applyAlignment="1">
      <alignment horizontal="center" vertical="center" wrapText="1"/>
    </xf>
    <xf numFmtId="166" fontId="20" fillId="0" borderId="10" xfId="136" applyFont="1" applyBorder="1" applyAlignment="1">
      <alignment horizontal="left" vertical="center" wrapText="1"/>
    </xf>
    <xf numFmtId="166" fontId="20" fillId="0" borderId="19" xfId="136" applyFont="1" applyBorder="1" applyAlignment="1">
      <alignment horizontal="center" vertical="center" wrapText="1"/>
    </xf>
    <xf numFmtId="166" fontId="20" fillId="0" borderId="13" xfId="136" applyFont="1" applyBorder="1" applyAlignment="1">
      <alignment horizontal="center" vertical="center" wrapText="1"/>
    </xf>
    <xf numFmtId="166" fontId="20" fillId="0" borderId="0" xfId="136" applyFont="1" applyBorder="1" applyAlignment="1">
      <alignment horizontal="center" vertical="center" wrapText="1"/>
    </xf>
    <xf numFmtId="167" fontId="20" fillId="0" borderId="10" xfId="136" applyNumberFormat="1" applyFont="1" applyBorder="1" applyAlignment="1">
      <alignment horizontal="center" vertical="center" wrapText="1"/>
    </xf>
    <xf numFmtId="167" fontId="20" fillId="0" borderId="0" xfId="136" applyNumberFormat="1" applyFont="1" applyBorder="1" applyAlignment="1">
      <alignment vertical="center" wrapText="1"/>
    </xf>
    <xf numFmtId="0" fontId="20" fillId="0" borderId="14" xfId="136" applyNumberFormat="1" applyFont="1" applyBorder="1" applyAlignment="1">
      <alignment vertical="center" wrapText="1"/>
    </xf>
    <xf numFmtId="166" fontId="20" fillId="0" borderId="15" xfId="136" applyFont="1" applyBorder="1" applyAlignment="1">
      <alignment vertical="center" wrapText="1"/>
    </xf>
    <xf numFmtId="0" fontId="20" fillId="0" borderId="0" xfId="136" applyNumberFormat="1" applyFont="1" applyBorder="1" applyAlignment="1">
      <alignment vertical="center" wrapText="1"/>
    </xf>
    <xf numFmtId="4" fontId="20" fillId="0" borderId="0" xfId="136" applyNumberFormat="1" applyFont="1" applyBorder="1" applyAlignment="1">
      <alignment vertical="center" wrapText="1"/>
    </xf>
    <xf numFmtId="166" fontId="34" fillId="0" borderId="0" xfId="136" applyFont="1" applyBorder="1" applyAlignment="1">
      <alignment horizontal="center" vertical="center" wrapText="1"/>
    </xf>
    <xf numFmtId="166" fontId="20" fillId="0" borderId="14" xfId="136" applyFont="1" applyBorder="1" applyAlignment="1">
      <alignment vertical="center" wrapText="1"/>
    </xf>
    <xf numFmtId="166" fontId="20" fillId="0" borderId="16" xfId="136" applyFont="1" applyBorder="1" applyAlignment="1">
      <alignment vertical="center" wrapText="1"/>
    </xf>
    <xf numFmtId="166" fontId="34" fillId="0" borderId="0" xfId="136" applyFont="1" applyBorder="1" applyAlignment="1">
      <alignment horizontal="center" vertical="top" wrapText="1"/>
    </xf>
    <xf numFmtId="166" fontId="20" fillId="0" borderId="0" xfId="136" applyFont="1" applyBorder="1" applyAlignment="1">
      <alignment horizontal="center" vertical="top" wrapText="1"/>
    </xf>
    <xf numFmtId="166" fontId="30" fillId="0" borderId="42" xfId="136" applyFont="1" applyBorder="1" applyAlignment="1">
      <alignment horizontal="center" wrapText="1"/>
    </xf>
    <xf numFmtId="167" fontId="20" fillId="0" borderId="10" xfId="136" applyNumberFormat="1" applyFont="1" applyBorder="1" applyAlignment="1">
      <alignment vertical="center" wrapText="1"/>
    </xf>
    <xf numFmtId="166" fontId="21" fillId="0" borderId="16" xfId="136" applyFont="1" applyBorder="1" applyAlignment="1">
      <alignment vertical="center" wrapText="1"/>
    </xf>
    <xf numFmtId="3" fontId="20" fillId="0" borderId="0" xfId="136" applyNumberFormat="1" applyFont="1" applyBorder="1" applyAlignment="1">
      <alignment vertical="center" wrapText="1"/>
    </xf>
    <xf numFmtId="0" fontId="20" fillId="0" borderId="17" xfId="135" applyFont="1" applyBorder="1" applyAlignment="1">
      <alignment horizontal="center" vertical="top" wrapText="1"/>
    </xf>
    <xf numFmtId="2" fontId="20" fillId="0" borderId="20" xfId="135" applyNumberFormat="1" applyFont="1" applyBorder="1" applyAlignment="1">
      <alignment horizontal="center" vertical="top" wrapText="1"/>
    </xf>
    <xf numFmtId="0" fontId="20" fillId="0" borderId="12" xfId="135" applyFont="1" applyBorder="1" applyAlignment="1">
      <alignment horizontal="center" vertical="top" wrapText="1"/>
    </xf>
    <xf numFmtId="2" fontId="20" fillId="0" borderId="13" xfId="135" applyNumberFormat="1" applyFont="1" applyBorder="1" applyAlignment="1">
      <alignment horizontal="center" vertical="top" wrapText="1"/>
    </xf>
    <xf numFmtId="0" fontId="20" fillId="0" borderId="69" xfId="135" applyFont="1" applyBorder="1" applyAlignment="1">
      <alignment wrapText="1"/>
    </xf>
    <xf numFmtId="0" fontId="20" fillId="0" borderId="14" xfId="135" applyFont="1" applyBorder="1" applyAlignment="1">
      <alignment horizontal="center" vertical="top"/>
    </xf>
    <xf numFmtId="0" fontId="20" fillId="0" borderId="0" xfId="136" applyNumberFormat="1" applyFont="1" applyBorder="1" applyAlignment="1">
      <alignment horizontal="center" vertical="center" wrapText="1"/>
    </xf>
    <xf numFmtId="2" fontId="32" fillId="0" borderId="10" xfId="135" applyNumberFormat="1" applyFont="1" applyBorder="1" applyAlignment="1">
      <alignment horizontal="center" vertical="center"/>
    </xf>
    <xf numFmtId="165" fontId="32" fillId="0" borderId="10" xfId="135" applyNumberFormat="1" applyFont="1" applyBorder="1" applyAlignment="1">
      <alignment horizontal="center" vertical="center"/>
    </xf>
    <xf numFmtId="166" fontId="20" fillId="0" borderId="17" xfId="136" applyFont="1" applyBorder="1" applyAlignment="1">
      <alignment horizontal="center" vertical="center" wrapText="1"/>
    </xf>
    <xf numFmtId="166" fontId="20" fillId="0" borderId="42" xfId="136" applyFont="1" applyBorder="1" applyAlignment="1">
      <alignment horizontal="center" vertical="center" wrapText="1"/>
    </xf>
    <xf numFmtId="166" fontId="20" fillId="0" borderId="20" xfId="136" applyFont="1" applyBorder="1" applyAlignment="1">
      <alignment horizontal="center" vertical="center" wrapText="1"/>
    </xf>
    <xf numFmtId="166" fontId="20" fillId="0" borderId="10" xfId="136" applyFont="1" applyBorder="1" applyAlignment="1">
      <alignment vertical="top" wrapText="1"/>
    </xf>
    <xf numFmtId="4" fontId="34" fillId="0" borderId="16" xfId="136" applyNumberFormat="1" applyFont="1" applyBorder="1" applyAlignment="1">
      <alignment vertical="center" wrapText="1"/>
    </xf>
    <xf numFmtId="4" fontId="34" fillId="0" borderId="16" xfId="136" applyNumberFormat="1" applyFont="1" applyBorder="1" applyAlignment="1">
      <alignment horizontal="center" vertical="center" wrapText="1"/>
    </xf>
    <xf numFmtId="166" fontId="21" fillId="0" borderId="13" xfId="136" applyFont="1" applyBorder="1" applyAlignment="1">
      <alignment vertical="center" wrapText="1"/>
    </xf>
    <xf numFmtId="0" fontId="20" fillId="0" borderId="10" xfId="135" applyFont="1" applyBorder="1" applyAlignment="1">
      <alignment vertical="center"/>
    </xf>
    <xf numFmtId="0" fontId="20" fillId="25" borderId="10" xfId="134" applyFont="1" applyFill="1" applyBorder="1" applyAlignment="1">
      <alignment horizontal="center" vertical="center" wrapText="1"/>
    </xf>
    <xf numFmtId="0" fontId="20" fillId="25" borderId="13" xfId="134" applyFont="1" applyFill="1" applyBorder="1" applyAlignment="1">
      <alignment horizontal="center" vertical="center" wrapText="1"/>
    </xf>
    <xf numFmtId="1" fontId="20" fillId="0" borderId="10" xfId="134" applyNumberFormat="1" applyFont="1" applyBorder="1" applyAlignment="1">
      <alignment horizontal="center"/>
    </xf>
    <xf numFmtId="0" fontId="20" fillId="0" borderId="10" xfId="134" applyFont="1" applyBorder="1" applyAlignment="1">
      <alignment horizontal="center" vertical="center" wrapText="1"/>
    </xf>
    <xf numFmtId="0" fontId="20" fillId="0" borderId="13" xfId="134" applyFont="1" applyBorder="1" applyAlignment="1">
      <alignment horizontal="center" vertical="center" wrapText="1"/>
    </xf>
    <xf numFmtId="0" fontId="20" fillId="0" borderId="14" xfId="135" applyFont="1" applyBorder="1" applyAlignment="1">
      <alignment horizontal="center" vertical="center"/>
    </xf>
    <xf numFmtId="4" fontId="20" fillId="0" borderId="15" xfId="135" applyNumberFormat="1" applyFont="1" applyBorder="1" applyAlignment="1">
      <alignment horizontal="left" vertical="center"/>
    </xf>
    <xf numFmtId="1" fontId="20" fillId="0" borderId="15" xfId="134" applyNumberFormat="1" applyFont="1" applyBorder="1" applyAlignment="1">
      <alignment horizontal="center"/>
    </xf>
    <xf numFmtId="0" fontId="20" fillId="25" borderId="66" xfId="134" applyFont="1" applyFill="1" applyBorder="1" applyAlignment="1">
      <alignment horizontal="center" vertical="center" wrapText="1"/>
    </xf>
    <xf numFmtId="0" fontId="20" fillId="0" borderId="66" xfId="134" applyFont="1" applyBorder="1" applyAlignment="1">
      <alignment horizontal="center" vertical="center" wrapText="1"/>
    </xf>
    <xf numFmtId="1" fontId="20" fillId="0" borderId="42" xfId="134" applyNumberFormat="1" applyFont="1" applyBorder="1" applyAlignment="1">
      <alignment horizontal="center"/>
    </xf>
    <xf numFmtId="0" fontId="20" fillId="0" borderId="31" xfId="134" applyFont="1" applyBorder="1" applyAlignment="1">
      <alignment horizontal="center" vertical="center" wrapText="1"/>
    </xf>
    <xf numFmtId="1" fontId="20" fillId="0" borderId="29" xfId="134" applyNumberFormat="1" applyFont="1" applyBorder="1" applyAlignment="1">
      <alignment horizontal="center"/>
    </xf>
    <xf numFmtId="1" fontId="20" fillId="0" borderId="30" xfId="134" applyNumberFormat="1" applyFont="1" applyBorder="1" applyAlignment="1">
      <alignment horizontal="center"/>
    </xf>
    <xf numFmtId="1" fontId="20" fillId="0" borderId="31" xfId="134" applyNumberFormat="1" applyFont="1" applyBorder="1" applyAlignment="1">
      <alignment horizontal="center"/>
    </xf>
    <xf numFmtId="0" fontId="20" fillId="0" borderId="12" xfId="135" applyFont="1" applyBorder="1" applyAlignment="1">
      <alignment horizontal="center" vertical="top"/>
    </xf>
    <xf numFmtId="4" fontId="20" fillId="0" borderId="15" xfId="135" applyNumberFormat="1" applyFont="1" applyBorder="1" applyAlignment="1">
      <alignment horizontal="left" vertical="top"/>
    </xf>
    <xf numFmtId="0" fontId="20" fillId="25" borderId="54" xfId="134" applyFont="1" applyFill="1" applyBorder="1" applyAlignment="1">
      <alignment horizontal="center" vertical="center" wrapText="1"/>
    </xf>
    <xf numFmtId="0" fontId="20" fillId="0" borderId="17" xfId="135" applyFont="1" applyBorder="1" applyAlignment="1">
      <alignment horizontal="center" vertical="top"/>
    </xf>
    <xf numFmtId="4" fontId="36" fillId="0" borderId="0" xfId="39" applyNumberFormat="1" applyFont="1" applyAlignment="1">
      <alignment horizontal="left"/>
    </xf>
    <xf numFmtId="0" fontId="37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horizontal="center" vertical="center"/>
    </xf>
    <xf numFmtId="2" fontId="37" fillId="0" borderId="10" xfId="0" applyNumberFormat="1" applyFont="1" applyBorder="1" applyAlignment="1">
      <alignment horizontal="center" vertical="center" wrapText="1"/>
    </xf>
    <xf numFmtId="2" fontId="38" fillId="0" borderId="10" xfId="0" applyNumberFormat="1" applyFont="1" applyBorder="1" applyAlignment="1">
      <alignment horizontal="center" vertical="center" wrapText="1"/>
    </xf>
    <xf numFmtId="2" fontId="37" fillId="0" borderId="10" xfId="0" applyNumberFormat="1" applyFont="1" applyBorder="1" applyAlignment="1">
      <alignment horizontal="center" vertical="center"/>
    </xf>
    <xf numFmtId="2" fontId="38" fillId="0" borderId="10" xfId="0" applyNumberFormat="1" applyFont="1" applyBorder="1" applyAlignment="1">
      <alignment horizontal="center" vertical="center"/>
    </xf>
    <xf numFmtId="0" fontId="33" fillId="0" borderId="42" xfId="135" applyFont="1" applyBorder="1" applyAlignment="1">
      <alignment horizontal="center" vertical="center" wrapText="1"/>
    </xf>
    <xf numFmtId="0" fontId="22" fillId="0" borderId="0" xfId="0" applyFont="1"/>
    <xf numFmtId="4" fontId="20" fillId="27" borderId="34" xfId="135" applyNumberFormat="1" applyFont="1" applyFill="1" applyBorder="1" applyAlignment="1">
      <alignment horizontal="left" vertical="top"/>
    </xf>
    <xf numFmtId="0" fontId="20" fillId="0" borderId="55" xfId="134" applyFont="1" applyBorder="1" applyAlignment="1">
      <alignment horizontal="center" vertical="center"/>
    </xf>
    <xf numFmtId="0" fontId="20" fillId="0" borderId="49" xfId="134" applyFont="1" applyBorder="1" applyAlignment="1">
      <alignment horizontal="center" vertical="center" wrapText="1"/>
    </xf>
    <xf numFmtId="0" fontId="20" fillId="0" borderId="48" xfId="134" applyFont="1" applyBorder="1" applyAlignment="1">
      <alignment horizontal="center" vertical="center" wrapText="1"/>
    </xf>
    <xf numFmtId="0" fontId="20" fillId="0" borderId="61" xfId="134" applyFont="1" applyBorder="1" applyAlignment="1">
      <alignment horizontal="center" vertical="center" wrapText="1"/>
    </xf>
    <xf numFmtId="0" fontId="20" fillId="0" borderId="34" xfId="134" applyFont="1" applyBorder="1" applyAlignment="1">
      <alignment horizontal="left" vertical="center"/>
    </xf>
    <xf numFmtId="0" fontId="20" fillId="0" borderId="49" xfId="135" applyFont="1" applyBorder="1" applyAlignment="1">
      <alignment horizontal="center" vertical="center" wrapText="1"/>
    </xf>
    <xf numFmtId="49" fontId="36" fillId="0" borderId="0" xfId="136" applyNumberFormat="1" applyFont="1" applyBorder="1" applyAlignment="1">
      <alignment vertical="center" wrapText="1"/>
    </xf>
    <xf numFmtId="166" fontId="34" fillId="0" borderId="0" xfId="136" applyFont="1" applyBorder="1" applyAlignment="1">
      <alignment vertical="center" wrapText="1"/>
    </xf>
    <xf numFmtId="9" fontId="20" fillId="0" borderId="25" xfId="136" applyNumberFormat="1" applyFont="1" applyBorder="1" applyAlignment="1">
      <alignment horizontal="center" vertical="center" wrapText="1"/>
    </xf>
    <xf numFmtId="9" fontId="20" fillId="0" borderId="44" xfId="136" applyNumberFormat="1" applyFont="1" applyBorder="1" applyAlignment="1">
      <alignment horizontal="center" vertical="center" wrapText="1"/>
    </xf>
    <xf numFmtId="9" fontId="20" fillId="0" borderId="26" xfId="136" applyNumberFormat="1" applyFont="1" applyBorder="1" applyAlignment="1">
      <alignment horizontal="center" vertical="center" wrapText="1"/>
    </xf>
    <xf numFmtId="0" fontId="20" fillId="0" borderId="41" xfId="134" applyFont="1" applyBorder="1" applyAlignment="1">
      <alignment horizontal="center" vertical="center"/>
    </xf>
    <xf numFmtId="0" fontId="20" fillId="0" borderId="30" xfId="134" applyFont="1" applyBorder="1" applyAlignment="1">
      <alignment horizontal="center" vertical="center"/>
    </xf>
    <xf numFmtId="0" fontId="20" fillId="0" borderId="31" xfId="134" applyFont="1" applyBorder="1" applyAlignment="1">
      <alignment horizontal="center" vertical="center"/>
    </xf>
    <xf numFmtId="4" fontId="20" fillId="0" borderId="43" xfId="135" applyNumberFormat="1" applyFont="1" applyBorder="1" applyAlignment="1">
      <alignment horizontal="left" vertical="top"/>
    </xf>
    <xf numFmtId="4" fontId="20" fillId="0" borderId="11" xfId="135" applyNumberFormat="1" applyFont="1" applyBorder="1" applyAlignment="1">
      <alignment horizontal="left" vertical="top"/>
    </xf>
    <xf numFmtId="4" fontId="20" fillId="0" borderId="38" xfId="135" applyNumberFormat="1" applyFont="1" applyBorder="1" applyAlignment="1">
      <alignment horizontal="left" vertical="top"/>
    </xf>
    <xf numFmtId="0" fontId="20" fillId="0" borderId="24" xfId="135" applyFont="1" applyBorder="1" applyAlignment="1">
      <alignment horizontal="center" vertical="center"/>
    </xf>
    <xf numFmtId="0" fontId="20" fillId="0" borderId="18" xfId="135" applyFont="1" applyBorder="1" applyAlignment="1">
      <alignment horizontal="center" vertical="center"/>
    </xf>
    <xf numFmtId="0" fontId="20" fillId="0" borderId="27" xfId="135" applyFont="1" applyBorder="1" applyAlignment="1">
      <alignment horizontal="center" vertical="center"/>
    </xf>
    <xf numFmtId="4" fontId="20" fillId="0" borderId="17" xfId="135" applyNumberFormat="1" applyFont="1" applyBorder="1" applyAlignment="1">
      <alignment horizontal="left" vertical="center"/>
    </xf>
    <xf numFmtId="4" fontId="20" fillId="0" borderId="12" xfId="135" applyNumberFormat="1" applyFont="1" applyBorder="1" applyAlignment="1">
      <alignment horizontal="left" vertical="center"/>
    </xf>
    <xf numFmtId="4" fontId="20" fillId="0" borderId="14" xfId="135" applyNumberFormat="1" applyFont="1" applyBorder="1" applyAlignment="1">
      <alignment horizontal="left" vertical="center"/>
    </xf>
    <xf numFmtId="4" fontId="20" fillId="0" borderId="24" xfId="135" applyNumberFormat="1" applyFont="1" applyBorder="1" applyAlignment="1">
      <alignment horizontal="left" vertical="top"/>
    </xf>
    <xf numFmtId="4" fontId="20" fillId="0" borderId="18" xfId="135" applyNumberFormat="1" applyFont="1" applyBorder="1" applyAlignment="1">
      <alignment horizontal="left" vertical="top"/>
    </xf>
    <xf numFmtId="4" fontId="20" fillId="0" borderId="27" xfId="135" applyNumberFormat="1" applyFont="1" applyBorder="1" applyAlignment="1">
      <alignment horizontal="left" vertical="top"/>
    </xf>
    <xf numFmtId="0" fontId="20" fillId="0" borderId="63" xfId="134" applyFont="1" applyBorder="1" applyAlignment="1">
      <alignment horizontal="center" vertical="center"/>
    </xf>
    <xf numFmtId="0" fontId="20" fillId="0" borderId="58" xfId="134" applyFont="1" applyBorder="1" applyAlignment="1">
      <alignment horizontal="center" vertical="center"/>
    </xf>
    <xf numFmtId="2" fontId="0" fillId="0" borderId="0" xfId="0" applyNumberFormat="1"/>
    <xf numFmtId="2" fontId="36" fillId="0" borderId="10" xfId="0" applyNumberFormat="1" applyFont="1" applyBorder="1" applyAlignment="1">
      <alignment horizontal="left"/>
    </xf>
    <xf numFmtId="4" fontId="36" fillId="0" borderId="10" xfId="39" applyNumberFormat="1" applyFont="1" applyBorder="1" applyAlignment="1">
      <alignment horizontal="left" wrapText="1"/>
    </xf>
    <xf numFmtId="4" fontId="36" fillId="0" borderId="10" xfId="39" applyNumberFormat="1" applyFont="1" applyBorder="1" applyAlignment="1">
      <alignment horizontal="left"/>
    </xf>
    <xf numFmtId="0" fontId="41" fillId="0" borderId="10" xfId="0" applyFont="1" applyBorder="1" applyAlignment="1">
      <alignment horizontal="center"/>
    </xf>
    <xf numFmtId="2" fontId="41" fillId="0" borderId="10" xfId="0" applyNumberFormat="1" applyFont="1" applyBorder="1" applyAlignment="1">
      <alignment horizontal="left"/>
    </xf>
    <xf numFmtId="0" fontId="41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wrapText="1"/>
    </xf>
    <xf numFmtId="0" fontId="41" fillId="0" borderId="10" xfId="0" applyFont="1" applyBorder="1"/>
    <xf numFmtId="2" fontId="20" fillId="0" borderId="25" xfId="134" applyNumberFormat="1" applyFont="1" applyBorder="1" applyAlignment="1">
      <alignment horizontal="center" vertical="center"/>
    </xf>
    <xf numFmtId="1" fontId="20" fillId="0" borderId="0" xfId="134" applyNumberFormat="1" applyFont="1"/>
    <xf numFmtId="2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20" fillId="0" borderId="15" xfId="134" applyNumberFormat="1" applyFont="1" applyBorder="1" applyAlignment="1">
      <alignment horizontal="center" vertical="center"/>
    </xf>
    <xf numFmtId="4" fontId="20" fillId="0" borderId="15" xfId="134" applyNumberFormat="1" applyFont="1" applyBorder="1" applyAlignment="1">
      <alignment horizontal="center" vertical="center"/>
    </xf>
    <xf numFmtId="0" fontId="41" fillId="29" borderId="10" xfId="0" applyFont="1" applyFill="1" applyBorder="1" applyAlignment="1">
      <alignment horizontal="center" vertical="center"/>
    </xf>
    <xf numFmtId="1" fontId="41" fillId="29" borderId="10" xfId="0" applyNumberFormat="1" applyFont="1" applyFill="1" applyBorder="1" applyAlignment="1">
      <alignment horizontal="center" vertical="center"/>
    </xf>
    <xf numFmtId="2" fontId="20" fillId="0" borderId="42" xfId="134" applyNumberFormat="1" applyFont="1" applyBorder="1" applyAlignment="1">
      <alignment horizontal="center" vertical="center"/>
    </xf>
    <xf numFmtId="2" fontId="20" fillId="0" borderId="19" xfId="134" applyNumberFormat="1" applyFont="1" applyBorder="1" applyAlignment="1">
      <alignment horizontal="center" vertical="center"/>
    </xf>
    <xf numFmtId="2" fontId="20" fillId="0" borderId="49" xfId="134" applyNumberFormat="1" applyFont="1" applyBorder="1" applyAlignment="1">
      <alignment horizontal="center" vertical="center"/>
    </xf>
    <xf numFmtId="2" fontId="0" fillId="0" borderId="70" xfId="0" applyNumberFormat="1" applyBorder="1" applyAlignment="1">
      <alignment horizontal="center" vertical="center"/>
    </xf>
    <xf numFmtId="0" fontId="42" fillId="0" borderId="11" xfId="0" applyFont="1" applyBorder="1"/>
    <xf numFmtId="0" fontId="42" fillId="0" borderId="45" xfId="0" applyFont="1" applyBorder="1"/>
    <xf numFmtId="0" fontId="41" fillId="0" borderId="70" xfId="0" applyFont="1" applyBorder="1" applyAlignment="1">
      <alignment horizontal="center"/>
    </xf>
    <xf numFmtId="4" fontId="36" fillId="0" borderId="70" xfId="39" applyNumberFormat="1" applyFont="1" applyBorder="1" applyAlignment="1">
      <alignment horizontal="left"/>
    </xf>
    <xf numFmtId="0" fontId="41" fillId="0" borderId="7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4" fontId="20" fillId="0" borderId="58" xfId="134" applyNumberFormat="1" applyFont="1" applyBorder="1" applyAlignment="1">
      <alignment horizontal="center" vertical="center" wrapText="1"/>
    </xf>
    <xf numFmtId="4" fontId="20" fillId="0" borderId="42" xfId="134" applyNumberFormat="1" applyFont="1" applyBorder="1" applyAlignment="1">
      <alignment horizontal="center" vertical="center"/>
    </xf>
    <xf numFmtId="2" fontId="20" fillId="30" borderId="13" xfId="135" applyNumberFormat="1" applyFont="1" applyFill="1" applyBorder="1" applyAlignment="1">
      <alignment horizontal="center" vertical="top" wrapText="1"/>
    </xf>
    <xf numFmtId="4" fontId="0" fillId="0" borderId="0" xfId="0" applyNumberFormat="1"/>
    <xf numFmtId="0" fontId="42" fillId="0" borderId="0" xfId="0" applyFont="1"/>
    <xf numFmtId="1" fontId="41" fillId="0" borderId="0" xfId="0" applyNumberFormat="1" applyFont="1" applyAlignment="1">
      <alignment horizontal="center"/>
    </xf>
    <xf numFmtId="0" fontId="41" fillId="0" borderId="11" xfId="0" applyFont="1" applyBorder="1" applyAlignment="1">
      <alignment horizontal="center"/>
    </xf>
    <xf numFmtId="0" fontId="41" fillId="0" borderId="11" xfId="0" applyFont="1" applyBorder="1" applyAlignment="1">
      <alignment horizontal="center" vertical="center"/>
    </xf>
    <xf numFmtId="1" fontId="41" fillId="0" borderId="12" xfId="0" applyNumberFormat="1" applyFont="1" applyBorder="1" applyAlignment="1">
      <alignment horizontal="center"/>
    </xf>
    <xf numFmtId="1" fontId="41" fillId="0" borderId="13" xfId="0" applyNumberFormat="1" applyFont="1" applyBorder="1" applyAlignment="1">
      <alignment horizontal="center"/>
    </xf>
    <xf numFmtId="1" fontId="41" fillId="0" borderId="14" xfId="0" applyNumberFormat="1" applyFont="1" applyBorder="1" applyAlignment="1">
      <alignment horizontal="center"/>
    </xf>
    <xf numFmtId="1" fontId="41" fillId="0" borderId="16" xfId="0" applyNumberFormat="1" applyFont="1" applyBorder="1" applyAlignment="1">
      <alignment horizontal="center"/>
    </xf>
    <xf numFmtId="0" fontId="41" fillId="0" borderId="30" xfId="0" applyFont="1" applyBorder="1" applyAlignment="1">
      <alignment horizontal="center"/>
    </xf>
    <xf numFmtId="0" fontId="41" fillId="0" borderId="30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/>
    </xf>
    <xf numFmtId="2" fontId="36" fillId="0" borderId="13" xfId="0" applyNumberFormat="1" applyFont="1" applyBorder="1" applyAlignment="1">
      <alignment horizontal="left"/>
    </xf>
    <xf numFmtId="2" fontId="41" fillId="0" borderId="13" xfId="0" applyNumberFormat="1" applyFont="1" applyBorder="1" applyAlignment="1">
      <alignment horizontal="left"/>
    </xf>
    <xf numFmtId="4" fontId="36" fillId="0" borderId="13" xfId="39" applyNumberFormat="1" applyFont="1" applyBorder="1" applyAlignment="1">
      <alignment horizontal="left" wrapText="1"/>
    </xf>
    <xf numFmtId="4" fontId="36" fillId="0" borderId="13" xfId="39" applyNumberFormat="1" applyFont="1" applyBorder="1" applyAlignment="1">
      <alignment horizontal="left"/>
    </xf>
    <xf numFmtId="0" fontId="41" fillId="0" borderId="14" xfId="0" applyFont="1" applyBorder="1" applyAlignment="1">
      <alignment horizontal="center"/>
    </xf>
    <xf numFmtId="4" fontId="36" fillId="0" borderId="16" xfId="39" applyNumberFormat="1" applyFont="1" applyBorder="1" applyAlignment="1">
      <alignment horizontal="left"/>
    </xf>
    <xf numFmtId="0" fontId="41" fillId="0" borderId="11" xfId="0" applyFont="1" applyBorder="1"/>
    <xf numFmtId="0" fontId="41" fillId="0" borderId="30" xfId="0" applyFont="1" applyBorder="1"/>
    <xf numFmtId="0" fontId="42" fillId="0" borderId="72" xfId="0" applyFont="1" applyBorder="1"/>
    <xf numFmtId="0" fontId="41" fillId="0" borderId="17" xfId="0" applyFont="1" applyBorder="1" applyAlignment="1">
      <alignment horizontal="center" vertical="center"/>
    </xf>
    <xf numFmtId="0" fontId="41" fillId="0" borderId="20" xfId="0" applyFont="1" applyBorder="1" applyAlignment="1">
      <alignment wrapText="1"/>
    </xf>
    <xf numFmtId="0" fontId="41" fillId="0" borderId="12" xfId="0" applyFont="1" applyBorder="1" applyAlignment="1">
      <alignment horizontal="center" vertical="center"/>
    </xf>
    <xf numFmtId="0" fontId="41" fillId="0" borderId="13" xfId="0" applyFont="1" applyBorder="1" applyAlignment="1">
      <alignment wrapText="1"/>
    </xf>
    <xf numFmtId="0" fontId="41" fillId="0" borderId="14" xfId="0" applyFont="1" applyBorder="1" applyAlignment="1">
      <alignment horizontal="center" vertical="center"/>
    </xf>
    <xf numFmtId="0" fontId="41" fillId="0" borderId="16" xfId="0" applyFont="1" applyBorder="1" applyAlignment="1">
      <alignment wrapText="1"/>
    </xf>
    <xf numFmtId="1" fontId="41" fillId="0" borderId="17" xfId="0" applyNumberFormat="1" applyFont="1" applyBorder="1" applyAlignment="1">
      <alignment horizontal="center"/>
    </xf>
    <xf numFmtId="1" fontId="41" fillId="0" borderId="20" xfId="0" applyNumberFormat="1" applyFont="1" applyBorder="1" applyAlignment="1">
      <alignment horizontal="center"/>
    </xf>
    <xf numFmtId="0" fontId="41" fillId="0" borderId="0" xfId="0" applyFont="1"/>
    <xf numFmtId="0" fontId="41" fillId="0" borderId="0" xfId="0" applyFont="1" applyAlignment="1">
      <alignment wrapText="1"/>
    </xf>
    <xf numFmtId="10" fontId="41" fillId="0" borderId="0" xfId="0" applyNumberFormat="1" applyFont="1"/>
    <xf numFmtId="0" fontId="37" fillId="0" borderId="0" xfId="0" applyFont="1"/>
    <xf numFmtId="0" fontId="37" fillId="2" borderId="0" xfId="0" applyFont="1" applyFill="1"/>
    <xf numFmtId="0" fontId="47" fillId="2" borderId="70" xfId="0" applyFont="1" applyFill="1" applyBorder="1" applyAlignment="1">
      <alignment horizontal="center" vertical="center" wrapText="1"/>
    </xf>
    <xf numFmtId="4" fontId="37" fillId="0" borderId="70" xfId="0" applyNumberFormat="1" applyFont="1" applyBorder="1" applyAlignment="1">
      <alignment horizontal="center" vertical="center"/>
    </xf>
    <xf numFmtId="4" fontId="47" fillId="2" borderId="70" xfId="0" applyNumberFormat="1" applyFont="1" applyFill="1" applyBorder="1" applyAlignment="1">
      <alignment horizontal="center" vertical="center" wrapText="1"/>
    </xf>
    <xf numFmtId="4" fontId="47" fillId="2" borderId="19" xfId="0" applyNumberFormat="1" applyFont="1" applyFill="1" applyBorder="1" applyAlignment="1">
      <alignment horizontal="center" vertical="center" wrapText="1"/>
    </xf>
    <xf numFmtId="4" fontId="47" fillId="2" borderId="0" xfId="0" applyNumberFormat="1" applyFont="1" applyFill="1" applyAlignment="1">
      <alignment horizontal="center" vertical="center" wrapText="1"/>
    </xf>
    <xf numFmtId="0" fontId="47" fillId="2" borderId="70" xfId="0" applyFont="1" applyFill="1" applyBorder="1" applyAlignment="1">
      <alignment vertical="center" wrapText="1"/>
    </xf>
    <xf numFmtId="4" fontId="47" fillId="2" borderId="15" xfId="0" applyNumberFormat="1" applyFont="1" applyFill="1" applyBorder="1" applyAlignment="1">
      <alignment horizontal="center" vertical="center" wrapText="1"/>
    </xf>
    <xf numFmtId="4" fontId="38" fillId="0" borderId="0" xfId="0" applyNumberFormat="1" applyFont="1" applyAlignment="1">
      <alignment horizontal="center" vertical="center"/>
    </xf>
    <xf numFmtId="1" fontId="20" fillId="0" borderId="66" xfId="134" applyNumberFormat="1" applyFont="1" applyBorder="1" applyAlignment="1">
      <alignment horizontal="center"/>
    </xf>
    <xf numFmtId="1" fontId="20" fillId="0" borderId="54" xfId="134" applyNumberFormat="1" applyFont="1" applyBorder="1" applyAlignment="1">
      <alignment horizontal="center"/>
    </xf>
    <xf numFmtId="1" fontId="20" fillId="0" borderId="48" xfId="134" applyNumberFormat="1" applyFont="1" applyBorder="1" applyAlignment="1">
      <alignment horizontal="center"/>
    </xf>
    <xf numFmtId="1" fontId="20" fillId="0" borderId="61" xfId="134" applyNumberFormat="1" applyFont="1" applyBorder="1" applyAlignment="1">
      <alignment horizontal="center"/>
    </xf>
    <xf numFmtId="4" fontId="20" fillId="26" borderId="25" xfId="135" applyNumberFormat="1" applyFont="1" applyFill="1" applyBorder="1" applyAlignment="1">
      <alignment horizontal="left" vertical="top"/>
    </xf>
    <xf numFmtId="166" fontId="20" fillId="26" borderId="80" xfId="136" applyFont="1" applyFill="1" applyBorder="1" applyAlignment="1">
      <alignment vertical="center" wrapText="1"/>
    </xf>
    <xf numFmtId="166" fontId="32" fillId="26" borderId="80" xfId="136" applyFont="1" applyFill="1" applyBorder="1" applyAlignment="1">
      <alignment vertical="top"/>
    </xf>
    <xf numFmtId="166" fontId="32" fillId="26" borderId="80" xfId="136" applyFont="1" applyFill="1" applyBorder="1" applyAlignment="1">
      <alignment vertical="center"/>
    </xf>
    <xf numFmtId="166" fontId="20" fillId="31" borderId="15" xfId="136" applyFont="1" applyFill="1" applyBorder="1" applyAlignment="1">
      <alignment vertical="center" wrapText="1"/>
    </xf>
    <xf numFmtId="166" fontId="20" fillId="26" borderId="81" xfId="136" applyFont="1" applyFill="1" applyBorder="1" applyAlignment="1">
      <alignment vertical="center" wrapText="1"/>
    </xf>
    <xf numFmtId="166" fontId="20" fillId="31" borderId="80" xfId="136" applyFont="1" applyFill="1" applyBorder="1" applyAlignment="1">
      <alignment vertical="center" wrapText="1"/>
    </xf>
    <xf numFmtId="0" fontId="37" fillId="31" borderId="80" xfId="0" applyFont="1" applyFill="1" applyBorder="1" applyAlignment="1">
      <alignment horizontal="center" vertical="center"/>
    </xf>
    <xf numFmtId="2" fontId="48" fillId="31" borderId="80" xfId="137" applyNumberFormat="1" applyFont="1" applyFill="1" applyBorder="1" applyAlignment="1">
      <alignment horizontal="right" vertical="center"/>
    </xf>
    <xf numFmtId="169" fontId="20" fillId="31" borderId="80" xfId="136" applyNumberFormat="1" applyFont="1" applyFill="1" applyBorder="1" applyAlignment="1">
      <alignment vertical="center" wrapText="1"/>
    </xf>
    <xf numFmtId="2" fontId="20" fillId="0" borderId="20" xfId="135" applyNumberFormat="1" applyFont="1" applyBorder="1" applyAlignment="1">
      <alignment horizontal="center" vertical="center"/>
    </xf>
    <xf numFmtId="2" fontId="20" fillId="0" borderId="25" xfId="135" applyNumberFormat="1" applyFont="1" applyBorder="1" applyAlignment="1">
      <alignment horizontal="center" vertical="center"/>
    </xf>
    <xf numFmtId="2" fontId="20" fillId="0" borderId="58" xfId="135" applyNumberFormat="1" applyFont="1" applyBorder="1" applyAlignment="1">
      <alignment horizontal="center" vertical="center"/>
    </xf>
    <xf numFmtId="2" fontId="20" fillId="25" borderId="41" xfId="134" applyNumberFormat="1" applyFont="1" applyFill="1" applyBorder="1" applyAlignment="1">
      <alignment horizontal="center" vertical="center"/>
    </xf>
    <xf numFmtId="2" fontId="20" fillId="25" borderId="42" xfId="134" applyNumberFormat="1" applyFont="1" applyFill="1" applyBorder="1" applyAlignment="1">
      <alignment horizontal="center" vertical="center"/>
    </xf>
    <xf numFmtId="2" fontId="20" fillId="25" borderId="43" xfId="134" applyNumberFormat="1" applyFont="1" applyFill="1" applyBorder="1" applyAlignment="1">
      <alignment horizontal="center" vertical="center"/>
    </xf>
    <xf numFmtId="2" fontId="20" fillId="25" borderId="10" xfId="134" applyNumberFormat="1" applyFont="1" applyFill="1" applyBorder="1" applyAlignment="1">
      <alignment horizontal="center" vertical="center"/>
    </xf>
    <xf numFmtId="2" fontId="20" fillId="25" borderId="15" xfId="134" applyNumberFormat="1" applyFont="1" applyFill="1" applyBorder="1" applyAlignment="1">
      <alignment horizontal="center" vertical="center"/>
    </xf>
    <xf numFmtId="2" fontId="20" fillId="25" borderId="30" xfId="134" applyNumberFormat="1" applyFont="1" applyFill="1" applyBorder="1" applyAlignment="1">
      <alignment horizontal="center" vertical="center"/>
    </xf>
    <xf numFmtId="2" fontId="20" fillId="25" borderId="31" xfId="134" applyNumberFormat="1" applyFont="1" applyFill="1" applyBorder="1" applyAlignment="1">
      <alignment horizontal="center" vertical="center"/>
    </xf>
    <xf numFmtId="2" fontId="20" fillId="25" borderId="11" xfId="134" applyNumberFormat="1" applyFont="1" applyFill="1" applyBorder="1" applyAlignment="1">
      <alignment horizontal="center" vertical="center"/>
    </xf>
    <xf numFmtId="2" fontId="20" fillId="25" borderId="38" xfId="134" applyNumberFormat="1" applyFont="1" applyFill="1" applyBorder="1" applyAlignment="1">
      <alignment horizontal="center" vertical="center"/>
    </xf>
    <xf numFmtId="2" fontId="20" fillId="25" borderId="20" xfId="134" applyNumberFormat="1" applyFont="1" applyFill="1" applyBorder="1" applyAlignment="1">
      <alignment horizontal="center" vertical="center"/>
    </xf>
    <xf numFmtId="2" fontId="20" fillId="25" borderId="13" xfId="134" applyNumberFormat="1" applyFont="1" applyFill="1" applyBorder="1" applyAlignment="1">
      <alignment horizontal="center" vertical="center"/>
    </xf>
    <xf numFmtId="2" fontId="20" fillId="25" borderId="16" xfId="134" applyNumberFormat="1" applyFont="1" applyFill="1" applyBorder="1" applyAlignment="1">
      <alignment horizontal="center" vertical="center"/>
    </xf>
    <xf numFmtId="2" fontId="20" fillId="25" borderId="19" xfId="134" applyNumberFormat="1" applyFont="1" applyFill="1" applyBorder="1" applyAlignment="1">
      <alignment horizontal="center" vertical="center"/>
    </xf>
    <xf numFmtId="2" fontId="20" fillId="25" borderId="52" xfId="134" applyNumberFormat="1" applyFont="1" applyFill="1" applyBorder="1" applyAlignment="1">
      <alignment horizontal="center" vertical="center"/>
    </xf>
    <xf numFmtId="2" fontId="20" fillId="25" borderId="22" xfId="134" applyNumberFormat="1" applyFont="1" applyFill="1" applyBorder="1" applyAlignment="1">
      <alignment horizontal="center" vertical="center"/>
    </xf>
    <xf numFmtId="2" fontId="20" fillId="25" borderId="60" xfId="134" applyNumberFormat="1" applyFont="1" applyFill="1" applyBorder="1" applyAlignment="1">
      <alignment horizontal="center" vertical="center"/>
    </xf>
    <xf numFmtId="2" fontId="20" fillId="25" borderId="53" xfId="134" applyNumberFormat="1" applyFont="1" applyFill="1" applyBorder="1" applyAlignment="1">
      <alignment horizontal="center" vertical="center"/>
    </xf>
    <xf numFmtId="2" fontId="20" fillId="25" borderId="59" xfId="134" applyNumberFormat="1" applyFont="1" applyFill="1" applyBorder="1" applyAlignment="1">
      <alignment horizontal="center" vertical="center"/>
    </xf>
    <xf numFmtId="2" fontId="20" fillId="25" borderId="49" xfId="134" applyNumberFormat="1" applyFont="1" applyFill="1" applyBorder="1" applyAlignment="1">
      <alignment horizontal="center" vertical="center"/>
    </xf>
    <xf numFmtId="2" fontId="20" fillId="25" borderId="50" xfId="134" applyNumberFormat="1" applyFont="1" applyFill="1" applyBorder="1" applyAlignment="1">
      <alignment horizontal="center" vertical="center"/>
    </xf>
    <xf numFmtId="2" fontId="20" fillId="25" borderId="61" xfId="134" applyNumberFormat="1" applyFont="1" applyFill="1" applyBorder="1" applyAlignment="1">
      <alignment horizontal="center" vertical="center"/>
    </xf>
    <xf numFmtId="2" fontId="20" fillId="25" borderId="58" xfId="134" applyNumberFormat="1" applyFont="1" applyFill="1" applyBorder="1" applyAlignment="1">
      <alignment horizontal="center" vertical="center"/>
    </xf>
    <xf numFmtId="2" fontId="20" fillId="25" borderId="23" xfId="134" applyNumberFormat="1" applyFont="1" applyFill="1" applyBorder="1" applyAlignment="1">
      <alignment horizontal="center" vertical="center"/>
    </xf>
    <xf numFmtId="2" fontId="20" fillId="25" borderId="64" xfId="134" applyNumberFormat="1" applyFont="1" applyFill="1" applyBorder="1" applyAlignment="1">
      <alignment horizontal="center" vertical="center"/>
    </xf>
    <xf numFmtId="2" fontId="20" fillId="25" borderId="32" xfId="134" applyNumberFormat="1" applyFont="1" applyFill="1" applyBorder="1" applyAlignment="1">
      <alignment horizontal="center" vertical="center"/>
    </xf>
    <xf numFmtId="2" fontId="20" fillId="25" borderId="63" xfId="134" applyNumberFormat="1" applyFont="1" applyFill="1" applyBorder="1" applyAlignment="1">
      <alignment horizontal="center" vertical="center"/>
    </xf>
    <xf numFmtId="2" fontId="20" fillId="25" borderId="65" xfId="134" applyNumberFormat="1" applyFont="1" applyFill="1" applyBorder="1" applyAlignment="1">
      <alignment horizontal="center" vertical="center"/>
    </xf>
    <xf numFmtId="2" fontId="20" fillId="25" borderId="62" xfId="134" applyNumberFormat="1" applyFont="1" applyFill="1" applyBorder="1" applyAlignment="1">
      <alignment horizontal="center" vertical="center"/>
    </xf>
    <xf numFmtId="2" fontId="20" fillId="25" borderId="37" xfId="134" applyNumberFormat="1" applyFont="1" applyFill="1" applyBorder="1" applyAlignment="1">
      <alignment horizontal="center" vertical="center"/>
    </xf>
    <xf numFmtId="2" fontId="20" fillId="25" borderId="21" xfId="134" applyNumberFormat="1" applyFont="1" applyFill="1" applyBorder="1" applyAlignment="1">
      <alignment horizontal="center" vertical="center"/>
    </xf>
    <xf numFmtId="2" fontId="41" fillId="29" borderId="10" xfId="0" applyNumberFormat="1" applyFont="1" applyFill="1" applyBorder="1" applyAlignment="1">
      <alignment horizontal="center" vertical="center"/>
    </xf>
    <xf numFmtId="2" fontId="41" fillId="29" borderId="70" xfId="0" applyNumberFormat="1" applyFont="1" applyFill="1" applyBorder="1" applyAlignment="1">
      <alignment horizontal="center" vertical="center"/>
    </xf>
    <xf numFmtId="2" fontId="42" fillId="0" borderId="45" xfId="0" applyNumberFormat="1" applyFont="1" applyBorder="1"/>
    <xf numFmtId="2" fontId="42" fillId="0" borderId="0" xfId="0" applyNumberFormat="1" applyFont="1"/>
    <xf numFmtId="0" fontId="38" fillId="26" borderId="70" xfId="0" applyFont="1" applyFill="1" applyBorder="1" applyAlignment="1">
      <alignment horizontal="center" vertical="center" wrapText="1"/>
    </xf>
    <xf numFmtId="0" fontId="46" fillId="2" borderId="70" xfId="0" applyFont="1" applyFill="1" applyBorder="1" applyAlignment="1">
      <alignment horizontal="center" vertical="center" wrapText="1"/>
    </xf>
    <xf numFmtId="0" fontId="47" fillId="28" borderId="70" xfId="0" applyFont="1" applyFill="1" applyBorder="1" applyAlignment="1">
      <alignment vertical="center" wrapText="1"/>
    </xf>
    <xf numFmtId="4" fontId="37" fillId="26" borderId="70" xfId="0" applyNumberFormat="1" applyFont="1" applyFill="1" applyBorder="1" applyAlignment="1">
      <alignment horizontal="center" vertical="center"/>
    </xf>
    <xf numFmtId="4" fontId="37" fillId="26" borderId="80" xfId="0" applyNumberFormat="1" applyFont="1" applyFill="1" applyBorder="1" applyAlignment="1">
      <alignment horizontal="center" vertical="center"/>
    </xf>
    <xf numFmtId="4" fontId="20" fillId="28" borderId="11" xfId="135" applyNumberFormat="1" applyFont="1" applyFill="1" applyBorder="1" applyAlignment="1">
      <alignment horizontal="left" vertical="top"/>
    </xf>
    <xf numFmtId="0" fontId="47" fillId="28" borderId="70" xfId="0" applyFont="1" applyFill="1" applyBorder="1" applyAlignment="1">
      <alignment horizontal="center" vertical="center" wrapText="1"/>
    </xf>
    <xf numFmtId="0" fontId="46" fillId="2" borderId="73" xfId="0" applyFont="1" applyFill="1" applyBorder="1" applyAlignment="1">
      <alignment vertical="center" wrapText="1"/>
    </xf>
    <xf numFmtId="0" fontId="46" fillId="2" borderId="74" xfId="0" applyFont="1" applyFill="1" applyBorder="1" applyAlignment="1">
      <alignment vertical="center" wrapText="1"/>
    </xf>
    <xf numFmtId="0" fontId="46" fillId="2" borderId="0" xfId="0" applyFont="1" applyFill="1" applyAlignment="1">
      <alignment vertical="center" wrapText="1"/>
    </xf>
    <xf numFmtId="0" fontId="46" fillId="2" borderId="57" xfId="0" applyFont="1" applyFill="1" applyBorder="1" applyAlignment="1">
      <alignment vertical="center" wrapText="1"/>
    </xf>
    <xf numFmtId="0" fontId="46" fillId="2" borderId="75" xfId="0" applyFont="1" applyFill="1" applyBorder="1" applyAlignment="1">
      <alignment vertical="center" wrapText="1"/>
    </xf>
    <xf numFmtId="0" fontId="46" fillId="2" borderId="29" xfId="0" applyFont="1" applyFill="1" applyBorder="1" applyAlignment="1">
      <alignment vertical="center" wrapText="1"/>
    </xf>
    <xf numFmtId="0" fontId="46" fillId="2" borderId="70" xfId="0" applyFont="1" applyFill="1" applyBorder="1" applyAlignment="1">
      <alignment horizontal="center" vertical="center" wrapText="1"/>
    </xf>
    <xf numFmtId="2" fontId="41" fillId="32" borderId="91" xfId="0" applyNumberFormat="1" applyFont="1" applyFill="1" applyBorder="1" applyAlignment="1">
      <alignment horizontal="center" vertical="center"/>
    </xf>
    <xf numFmtId="2" fontId="41" fillId="32" borderId="15" xfId="0" applyNumberFormat="1" applyFont="1" applyFill="1" applyBorder="1" applyAlignment="1">
      <alignment horizontal="center" vertical="center"/>
    </xf>
    <xf numFmtId="4" fontId="37" fillId="0" borderId="91" xfId="0" applyNumberFormat="1" applyFont="1" applyBorder="1" applyAlignment="1">
      <alignment horizontal="center" vertical="center"/>
    </xf>
    <xf numFmtId="4" fontId="41" fillId="0" borderId="0" xfId="0" applyNumberFormat="1" applyFont="1"/>
    <xf numFmtId="0" fontId="41" fillId="28" borderId="0" xfId="0" applyFont="1" applyFill="1"/>
    <xf numFmtId="0" fontId="37" fillId="28" borderId="0" xfId="0" applyFont="1" applyFill="1"/>
    <xf numFmtId="0" fontId="38" fillId="28" borderId="92" xfId="0" applyFont="1" applyFill="1" applyBorder="1" applyAlignment="1">
      <alignment horizontal="center" vertical="center" wrapText="1"/>
    </xf>
    <xf numFmtId="0" fontId="38" fillId="28" borderId="19" xfId="0" applyFont="1" applyFill="1" applyBorder="1" applyAlignment="1">
      <alignment horizontal="center" vertical="center" wrapText="1"/>
    </xf>
    <xf numFmtId="0" fontId="38" fillId="28" borderId="91" xfId="0" applyFont="1" applyFill="1" applyBorder="1" applyAlignment="1">
      <alignment horizontal="center" vertical="center" wrapText="1"/>
    </xf>
    <xf numFmtId="4" fontId="37" fillId="28" borderId="91" xfId="0" applyNumberFormat="1" applyFont="1" applyFill="1" applyBorder="1" applyAlignment="1">
      <alignment horizontal="center" vertical="center"/>
    </xf>
    <xf numFmtId="4" fontId="38" fillId="28" borderId="0" xfId="0" applyNumberFormat="1" applyFont="1" applyFill="1" applyAlignment="1">
      <alignment horizontal="center" vertical="center"/>
    </xf>
    <xf numFmtId="4" fontId="37" fillId="0" borderId="0" xfId="0" applyNumberFormat="1" applyFont="1"/>
    <xf numFmtId="1" fontId="41" fillId="29" borderId="91" xfId="0" applyNumberFormat="1" applyFont="1" applyFill="1" applyBorder="1" applyAlignment="1">
      <alignment horizontal="center" vertical="center"/>
    </xf>
    <xf numFmtId="2" fontId="41" fillId="28" borderId="10" xfId="0" applyNumberFormat="1" applyFont="1" applyFill="1" applyBorder="1" applyAlignment="1">
      <alignment horizontal="left"/>
    </xf>
    <xf numFmtId="2" fontId="36" fillId="28" borderId="10" xfId="0" applyNumberFormat="1" applyFont="1" applyFill="1" applyBorder="1" applyAlignment="1">
      <alignment horizontal="left"/>
    </xf>
    <xf numFmtId="2" fontId="41" fillId="29" borderId="10" xfId="0" quotePrefix="1" applyNumberFormat="1" applyFont="1" applyFill="1" applyBorder="1" applyAlignment="1">
      <alignment horizontal="center" vertical="center"/>
    </xf>
    <xf numFmtId="1" fontId="49" fillId="29" borderId="70" xfId="0" applyNumberFormat="1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170" fontId="41" fillId="32" borderId="42" xfId="0" applyNumberFormat="1" applyFont="1" applyFill="1" applyBorder="1" applyAlignment="1">
      <alignment horizontal="center" vertical="center"/>
    </xf>
    <xf numFmtId="170" fontId="41" fillId="32" borderId="91" xfId="0" applyNumberFormat="1" applyFont="1" applyFill="1" applyBorder="1" applyAlignment="1">
      <alignment horizontal="center" vertical="center"/>
    </xf>
    <xf numFmtId="170" fontId="41" fillId="32" borderId="15" xfId="0" applyNumberFormat="1" applyFont="1" applyFill="1" applyBorder="1" applyAlignment="1">
      <alignment horizontal="center" vertical="center"/>
    </xf>
    <xf numFmtId="170" fontId="41" fillId="28" borderId="15" xfId="0" applyNumberFormat="1" applyFont="1" applyFill="1" applyBorder="1" applyAlignment="1">
      <alignment horizontal="center" vertical="center"/>
    </xf>
    <xf numFmtId="1" fontId="36" fillId="29" borderId="70" xfId="0" applyNumberFormat="1" applyFont="1" applyFill="1" applyBorder="1" applyAlignment="1">
      <alignment horizontal="center" vertical="center"/>
    </xf>
    <xf numFmtId="1" fontId="41" fillId="28" borderId="10" xfId="0" applyNumberFormat="1" applyFont="1" applyFill="1" applyBorder="1" applyAlignment="1">
      <alignment horizontal="center" vertical="center"/>
    </xf>
    <xf numFmtId="168" fontId="0" fillId="28" borderId="0" xfId="138" applyNumberFormat="1" applyFont="1" applyFill="1" applyBorder="1" applyAlignment="1">
      <alignment horizontal="center" vertical="center"/>
    </xf>
    <xf numFmtId="0" fontId="42" fillId="28" borderId="45" xfId="0" applyFont="1" applyFill="1" applyBorder="1"/>
    <xf numFmtId="0" fontId="42" fillId="28" borderId="93" xfId="0" applyFont="1" applyFill="1" applyBorder="1"/>
    <xf numFmtId="4" fontId="36" fillId="0" borderId="10" xfId="39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1" fontId="36" fillId="29" borderId="10" xfId="0" applyNumberFormat="1" applyFont="1" applyFill="1" applyBorder="1" applyAlignment="1">
      <alignment horizontal="center" vertical="center"/>
    </xf>
    <xf numFmtId="170" fontId="41" fillId="0" borderId="10" xfId="0" applyNumberFormat="1" applyFont="1" applyBorder="1"/>
    <xf numFmtId="170" fontId="41" fillId="0" borderId="70" xfId="0" applyNumberFormat="1" applyFont="1" applyBorder="1"/>
    <xf numFmtId="170" fontId="41" fillId="28" borderId="70" xfId="0" applyNumberFormat="1" applyFont="1" applyFill="1" applyBorder="1" applyAlignment="1">
      <alignment horizontal="center"/>
    </xf>
    <xf numFmtId="170" fontId="41" fillId="29" borderId="15" xfId="0" applyNumberFormat="1" applyFont="1" applyFill="1" applyBorder="1" applyAlignment="1">
      <alignment horizontal="right" vertical="center"/>
    </xf>
    <xf numFmtId="2" fontId="41" fillId="29" borderId="70" xfId="0" applyNumberFormat="1" applyFont="1" applyFill="1" applyBorder="1" applyAlignment="1">
      <alignment horizontal="center"/>
    </xf>
    <xf numFmtId="2" fontId="41" fillId="29" borderId="70" xfId="0" applyNumberFormat="1" applyFont="1" applyFill="1" applyBorder="1"/>
    <xf numFmtId="2" fontId="41" fillId="29" borderId="15" xfId="0" applyNumberFormat="1" applyFont="1" applyFill="1" applyBorder="1" applyAlignment="1">
      <alignment horizontal="right" vertical="center"/>
    </xf>
    <xf numFmtId="2" fontId="41" fillId="0" borderId="70" xfId="0" applyNumberFormat="1" applyFont="1" applyBorder="1" applyAlignment="1">
      <alignment horizontal="center"/>
    </xf>
    <xf numFmtId="2" fontId="41" fillId="0" borderId="70" xfId="0" applyNumberFormat="1" applyFont="1" applyBorder="1" applyAlignment="1">
      <alignment horizontal="center" vertical="center"/>
    </xf>
    <xf numFmtId="2" fontId="20" fillId="0" borderId="16" xfId="135" applyNumberFormat="1" applyFont="1" applyBorder="1" applyAlignment="1">
      <alignment horizontal="center" vertical="top"/>
    </xf>
    <xf numFmtId="2" fontId="41" fillId="33" borderId="70" xfId="0" applyNumberFormat="1" applyFont="1" applyFill="1" applyBorder="1" applyAlignment="1">
      <alignment horizontal="center"/>
    </xf>
    <xf numFmtId="2" fontId="41" fillId="33" borderId="70" xfId="0" applyNumberFormat="1" applyFont="1" applyFill="1" applyBorder="1" applyAlignment="1">
      <alignment horizontal="center" vertical="center"/>
    </xf>
    <xf numFmtId="2" fontId="36" fillId="29" borderId="70" xfId="0" applyNumberFormat="1" applyFont="1" applyFill="1" applyBorder="1"/>
    <xf numFmtId="2" fontId="36" fillId="29" borderId="10" xfId="0" applyNumberFormat="1" applyFont="1" applyFill="1" applyBorder="1" applyAlignment="1">
      <alignment horizontal="center" vertical="center"/>
    </xf>
    <xf numFmtId="2" fontId="36" fillId="29" borderId="70" xfId="0" applyNumberFormat="1" applyFont="1" applyFill="1" applyBorder="1" applyAlignment="1">
      <alignment horizontal="center" vertical="center"/>
    </xf>
    <xf numFmtId="2" fontId="36" fillId="29" borderId="70" xfId="0" applyNumberFormat="1" applyFont="1" applyFill="1" applyBorder="1" applyAlignment="1">
      <alignment horizontal="right" vertical="center"/>
    </xf>
    <xf numFmtId="2" fontId="41" fillId="0" borderId="70" xfId="0" applyNumberFormat="1" applyFont="1" applyBorder="1"/>
    <xf numFmtId="2" fontId="41" fillId="28" borderId="15" xfId="0" applyNumberFormat="1" applyFont="1" applyFill="1" applyBorder="1" applyAlignment="1">
      <alignment horizontal="right" vertical="center"/>
    </xf>
    <xf numFmtId="0" fontId="38" fillId="26" borderId="66" xfId="0" applyFont="1" applyFill="1" applyBorder="1" applyAlignment="1">
      <alignment horizontal="center" vertical="center" wrapText="1"/>
    </xf>
    <xf numFmtId="0" fontId="38" fillId="26" borderId="19" xfId="0" applyFont="1" applyFill="1" applyBorder="1" applyAlignment="1">
      <alignment horizontal="center" vertical="center" wrapText="1"/>
    </xf>
    <xf numFmtId="0" fontId="37" fillId="2" borderId="75" xfId="0" applyFont="1" applyFill="1" applyBorder="1" applyAlignment="1">
      <alignment horizontal="center"/>
    </xf>
    <xf numFmtId="0" fontId="46" fillId="2" borderId="70" xfId="0" applyFont="1" applyFill="1" applyBorder="1" applyAlignment="1">
      <alignment horizontal="center" vertical="center" wrapText="1"/>
    </xf>
    <xf numFmtId="0" fontId="41" fillId="0" borderId="72" xfId="0" applyFont="1" applyBorder="1" applyAlignment="1">
      <alignment horizontal="center" wrapText="1"/>
    </xf>
    <xf numFmtId="0" fontId="41" fillId="0" borderId="0" xfId="0" applyFont="1" applyAlignment="1">
      <alignment horizontal="center" wrapText="1"/>
    </xf>
    <xf numFmtId="0" fontId="41" fillId="0" borderId="0" xfId="0" applyFont="1" applyAlignment="1">
      <alignment horizontal="center"/>
    </xf>
    <xf numFmtId="0" fontId="20" fillId="0" borderId="19" xfId="134" applyFont="1" applyBorder="1" applyAlignment="1">
      <alignment horizontal="center" vertical="center" wrapText="1"/>
    </xf>
    <xf numFmtId="0" fontId="20" fillId="0" borderId="10" xfId="134" applyFont="1" applyBorder="1" applyAlignment="1">
      <alignment horizontal="center" vertical="center" wrapText="1"/>
    </xf>
    <xf numFmtId="0" fontId="20" fillId="0" borderId="15" xfId="134" applyFont="1" applyBorder="1" applyAlignment="1">
      <alignment horizontal="center" vertical="center" wrapText="1"/>
    </xf>
    <xf numFmtId="0" fontId="20" fillId="0" borderId="17" xfId="134" applyFont="1" applyBorder="1" applyAlignment="1">
      <alignment horizontal="center" vertical="center" wrapText="1"/>
    </xf>
    <xf numFmtId="0" fontId="20" fillId="0" borderId="20" xfId="134" applyFont="1" applyBorder="1" applyAlignment="1">
      <alignment horizontal="center" vertical="center" wrapText="1"/>
    </xf>
    <xf numFmtId="0" fontId="20" fillId="0" borderId="12" xfId="134" applyFont="1" applyBorder="1" applyAlignment="1">
      <alignment horizontal="center" vertical="center" wrapText="1"/>
    </xf>
    <xf numFmtId="0" fontId="20" fillId="0" borderId="13" xfId="134" applyFont="1" applyBorder="1" applyAlignment="1">
      <alignment horizontal="center" vertical="center" wrapText="1"/>
    </xf>
    <xf numFmtId="0" fontId="27" fillId="0" borderId="0" xfId="134" applyFont="1" applyAlignment="1">
      <alignment horizontal="center" wrapText="1"/>
    </xf>
    <xf numFmtId="0" fontId="20" fillId="0" borderId="24" xfId="134" applyFont="1" applyBorder="1" applyAlignment="1">
      <alignment horizontal="center" vertical="center"/>
    </xf>
    <xf numFmtId="0" fontId="20" fillId="0" borderId="18" xfId="134" applyFont="1" applyBorder="1" applyAlignment="1">
      <alignment horizontal="center" vertical="center"/>
    </xf>
    <xf numFmtId="0" fontId="20" fillId="0" borderId="27" xfId="134" applyFont="1" applyBorder="1" applyAlignment="1">
      <alignment horizontal="center" vertical="center"/>
    </xf>
    <xf numFmtId="0" fontId="20" fillId="0" borderId="25" xfId="134" applyFont="1" applyBorder="1" applyAlignment="1">
      <alignment horizontal="center" vertical="center"/>
    </xf>
    <xf numFmtId="0" fontId="20" fillId="0" borderId="44" xfId="134" applyFont="1" applyBorder="1" applyAlignment="1">
      <alignment horizontal="center" vertical="center"/>
    </xf>
    <xf numFmtId="0" fontId="20" fillId="0" borderId="26" xfId="134" applyFont="1" applyBorder="1" applyAlignment="1">
      <alignment horizontal="center" vertical="center"/>
    </xf>
    <xf numFmtId="0" fontId="20" fillId="0" borderId="39" xfId="134" applyFont="1" applyBorder="1" applyAlignment="1">
      <alignment horizontal="center" vertical="center"/>
    </xf>
    <xf numFmtId="0" fontId="20" fillId="0" borderId="40" xfId="134" applyFont="1" applyBorder="1" applyAlignment="1">
      <alignment horizontal="center" vertical="center"/>
    </xf>
    <xf numFmtId="0" fontId="20" fillId="0" borderId="51" xfId="134" applyFont="1" applyBorder="1" applyAlignment="1">
      <alignment horizontal="center" vertical="center" wrapText="1"/>
    </xf>
    <xf numFmtId="0" fontId="20" fillId="0" borderId="52" xfId="134" applyFont="1" applyBorder="1" applyAlignment="1">
      <alignment horizontal="center" vertical="center" wrapText="1"/>
    </xf>
    <xf numFmtId="0" fontId="20" fillId="0" borderId="53" xfId="134" applyFont="1" applyBorder="1" applyAlignment="1">
      <alignment horizontal="center" vertical="center" wrapText="1"/>
    </xf>
    <xf numFmtId="0" fontId="20" fillId="0" borderId="41" xfId="134" applyFont="1" applyBorder="1" applyAlignment="1">
      <alignment horizontal="center" vertical="center" wrapText="1"/>
    </xf>
    <xf numFmtId="0" fontId="20" fillId="0" borderId="30" xfId="134" applyFont="1" applyBorder="1" applyAlignment="1">
      <alignment horizontal="center" vertical="center" wrapText="1"/>
    </xf>
    <xf numFmtId="0" fontId="28" fillId="0" borderId="19" xfId="134" applyFont="1" applyBorder="1" applyAlignment="1">
      <alignment horizontal="center" vertical="center" wrapText="1"/>
    </xf>
    <xf numFmtId="0" fontId="28" fillId="0" borderId="10" xfId="134" applyFont="1" applyBorder="1" applyAlignment="1">
      <alignment horizontal="center" vertical="center" wrapText="1"/>
    </xf>
    <xf numFmtId="0" fontId="28" fillId="0" borderId="15" xfId="134" applyFont="1" applyBorder="1" applyAlignment="1">
      <alignment horizontal="center" vertical="center" wrapText="1"/>
    </xf>
    <xf numFmtId="0" fontId="20" fillId="25" borderId="22" xfId="134" applyFont="1" applyFill="1" applyBorder="1" applyAlignment="1">
      <alignment horizontal="center" vertical="center" wrapText="1"/>
    </xf>
    <xf numFmtId="0" fontId="20" fillId="25" borderId="13" xfId="134" applyFont="1" applyFill="1" applyBorder="1" applyAlignment="1">
      <alignment horizontal="center" vertical="center" wrapText="1"/>
    </xf>
    <xf numFmtId="0" fontId="20" fillId="25" borderId="16" xfId="134" applyFont="1" applyFill="1" applyBorder="1" applyAlignment="1">
      <alignment horizontal="center" vertical="center" wrapText="1"/>
    </xf>
    <xf numFmtId="0" fontId="29" fillId="0" borderId="10" xfId="135" applyFont="1" applyBorder="1" applyAlignment="1">
      <alignment horizontal="center" vertical="center" wrapText="1"/>
    </xf>
    <xf numFmtId="0" fontId="29" fillId="0" borderId="15" xfId="135" applyFont="1" applyBorder="1" applyAlignment="1">
      <alignment horizontal="center" vertical="center" wrapText="1"/>
    </xf>
    <xf numFmtId="0" fontId="20" fillId="0" borderId="56" xfId="134" applyFont="1" applyBorder="1" applyAlignment="1">
      <alignment horizontal="center" vertical="center" wrapText="1"/>
    </xf>
    <xf numFmtId="0" fontId="20" fillId="0" borderId="57" xfId="134" applyFont="1" applyBorder="1" applyAlignment="1">
      <alignment horizontal="center" vertical="center" wrapText="1"/>
    </xf>
    <xf numFmtId="0" fontId="20" fillId="0" borderId="58" xfId="134" applyFont="1" applyBorder="1" applyAlignment="1">
      <alignment horizontal="center" vertical="center" wrapText="1"/>
    </xf>
    <xf numFmtId="0" fontId="20" fillId="0" borderId="10" xfId="134" applyFont="1" applyBorder="1" applyAlignment="1">
      <alignment horizontal="center" vertical="center"/>
    </xf>
    <xf numFmtId="0" fontId="20" fillId="25" borderId="10" xfId="134" applyFont="1" applyFill="1" applyBorder="1" applyAlignment="1">
      <alignment horizontal="center" vertical="center" wrapText="1"/>
    </xf>
    <xf numFmtId="0" fontId="20" fillId="25" borderId="15" xfId="134" applyFont="1" applyFill="1" applyBorder="1" applyAlignment="1">
      <alignment horizontal="center" vertical="center" wrapText="1"/>
    </xf>
    <xf numFmtId="0" fontId="20" fillId="0" borderId="21" xfId="134" applyFont="1" applyBorder="1" applyAlignment="1">
      <alignment horizontal="center" vertical="center" wrapText="1"/>
    </xf>
    <xf numFmtId="0" fontId="20" fillId="0" borderId="14" xfId="134" applyFont="1" applyBorder="1" applyAlignment="1">
      <alignment horizontal="center" vertical="center" wrapText="1"/>
    </xf>
    <xf numFmtId="0" fontId="20" fillId="0" borderId="33" xfId="134" applyFont="1" applyBorder="1" applyAlignment="1">
      <alignment horizontal="center" vertical="center"/>
    </xf>
    <xf numFmtId="0" fontId="20" fillId="0" borderId="46" xfId="134" applyFont="1" applyBorder="1" applyAlignment="1">
      <alignment horizontal="center" vertical="center" wrapText="1"/>
    </xf>
    <xf numFmtId="0" fontId="20" fillId="0" borderId="66" xfId="134" applyFont="1" applyBorder="1" applyAlignment="1">
      <alignment horizontal="center" vertical="center" wrapText="1"/>
    </xf>
    <xf numFmtId="0" fontId="28" fillId="0" borderId="66" xfId="134" applyFont="1" applyBorder="1" applyAlignment="1">
      <alignment horizontal="center" vertical="center" wrapText="1"/>
    </xf>
    <xf numFmtId="0" fontId="27" fillId="0" borderId="0" xfId="134" applyFont="1" applyAlignment="1">
      <alignment horizontal="center" vertical="center" wrapText="1"/>
    </xf>
    <xf numFmtId="0" fontId="20" fillId="0" borderId="45" xfId="134" applyFont="1" applyBorder="1" applyAlignment="1">
      <alignment horizontal="center" vertical="center"/>
    </xf>
    <xf numFmtId="0" fontId="20" fillId="0" borderId="28" xfId="134" applyFont="1" applyBorder="1" applyAlignment="1">
      <alignment horizontal="center" vertical="center"/>
    </xf>
    <xf numFmtId="0" fontId="20" fillId="0" borderId="43" xfId="134" applyFont="1" applyBorder="1" applyAlignment="1">
      <alignment horizontal="center" vertical="center" wrapText="1"/>
    </xf>
    <xf numFmtId="0" fontId="20" fillId="0" borderId="11" xfId="134" applyFont="1" applyBorder="1" applyAlignment="1">
      <alignment horizontal="center" vertical="center" wrapText="1"/>
    </xf>
    <xf numFmtId="0" fontId="20" fillId="0" borderId="47" xfId="134" applyFont="1" applyBorder="1" applyAlignment="1">
      <alignment horizontal="center" vertical="center" wrapText="1"/>
    </xf>
    <xf numFmtId="0" fontId="20" fillId="0" borderId="48" xfId="134" applyFont="1" applyBorder="1" applyAlignment="1">
      <alignment horizontal="center" vertical="center" wrapText="1"/>
    </xf>
    <xf numFmtId="0" fontId="20" fillId="0" borderId="19" xfId="134" applyFont="1" applyBorder="1" applyAlignment="1">
      <alignment horizontal="center" vertical="center"/>
    </xf>
    <xf numFmtId="0" fontId="20" fillId="25" borderId="19" xfId="134" applyFont="1" applyFill="1" applyBorder="1" applyAlignment="1">
      <alignment horizontal="center" vertical="center" wrapText="1"/>
    </xf>
    <xf numFmtId="0" fontId="20" fillId="25" borderId="66" xfId="134" applyFont="1" applyFill="1" applyBorder="1" applyAlignment="1">
      <alignment horizontal="center" vertical="center" wrapText="1"/>
    </xf>
    <xf numFmtId="0" fontId="29" fillId="0" borderId="66" xfId="135" applyFont="1" applyBorder="1" applyAlignment="1">
      <alignment horizontal="center" vertical="center" wrapText="1"/>
    </xf>
    <xf numFmtId="0" fontId="20" fillId="0" borderId="17" xfId="134" applyFont="1" applyBorder="1" applyAlignment="1">
      <alignment horizontal="center" vertical="center"/>
    </xf>
    <xf numFmtId="0" fontId="20" fillId="0" borderId="12" xfId="134" applyFont="1" applyBorder="1" applyAlignment="1">
      <alignment horizontal="center" vertical="center"/>
    </xf>
    <xf numFmtId="0" fontId="20" fillId="0" borderId="46" xfId="134" applyFont="1" applyBorder="1" applyAlignment="1">
      <alignment horizontal="center" vertical="center"/>
    </xf>
    <xf numFmtId="0" fontId="20" fillId="0" borderId="42" xfId="134" applyFont="1" applyBorder="1" applyAlignment="1">
      <alignment horizontal="center" vertical="center"/>
    </xf>
    <xf numFmtId="0" fontId="20" fillId="0" borderId="66" xfId="134" applyFont="1" applyBorder="1" applyAlignment="1">
      <alignment horizontal="center" vertical="center"/>
    </xf>
    <xf numFmtId="0" fontId="20" fillId="0" borderId="42" xfId="134" applyFont="1" applyBorder="1" applyAlignment="1">
      <alignment horizontal="center" vertical="center" wrapText="1"/>
    </xf>
    <xf numFmtId="0" fontId="24" fillId="0" borderId="0" xfId="134" applyFont="1" applyAlignment="1">
      <alignment horizontal="center"/>
    </xf>
    <xf numFmtId="0" fontId="25" fillId="0" borderId="0" xfId="134" applyFont="1" applyAlignment="1">
      <alignment horizontal="left"/>
    </xf>
    <xf numFmtId="0" fontId="25" fillId="0" borderId="0" xfId="134" applyFont="1" applyAlignment="1">
      <alignment horizontal="center"/>
    </xf>
    <xf numFmtId="0" fontId="25" fillId="0" borderId="0" xfId="134" applyFont="1" applyAlignment="1">
      <alignment horizontal="left" wrapText="1"/>
    </xf>
    <xf numFmtId="0" fontId="20" fillId="0" borderId="18" xfId="136" applyNumberFormat="1" applyFont="1" applyBorder="1" applyAlignment="1">
      <alignment horizontal="center" vertical="center" wrapText="1"/>
    </xf>
    <xf numFmtId="0" fontId="20" fillId="0" borderId="30" xfId="136" applyNumberFormat="1" applyFont="1" applyBorder="1" applyAlignment="1">
      <alignment horizontal="center" vertical="center" wrapText="1"/>
    </xf>
    <xf numFmtId="166" fontId="20" fillId="0" borderId="0" xfId="136" applyFont="1" applyBorder="1" applyAlignment="1">
      <alignment horizontal="center" vertical="center" wrapText="1"/>
    </xf>
    <xf numFmtId="166" fontId="34" fillId="0" borderId="0" xfId="136" applyFont="1" applyBorder="1" applyAlignment="1">
      <alignment horizontal="center" vertical="top" wrapText="1"/>
    </xf>
    <xf numFmtId="166" fontId="20" fillId="0" borderId="0" xfId="136" applyFont="1" applyBorder="1" applyAlignment="1">
      <alignment horizontal="center" vertical="top" wrapText="1"/>
    </xf>
    <xf numFmtId="49" fontId="36" fillId="0" borderId="0" xfId="136" applyNumberFormat="1" applyFont="1" applyBorder="1" applyAlignment="1">
      <alignment horizontal="left" vertical="center" wrapText="1"/>
    </xf>
    <xf numFmtId="166" fontId="34" fillId="0" borderId="0" xfId="136" applyFont="1" applyBorder="1" applyAlignment="1">
      <alignment horizontal="center" vertical="center" wrapText="1"/>
    </xf>
    <xf numFmtId="166" fontId="27" fillId="0" borderId="0" xfId="136" applyFont="1" applyBorder="1" applyAlignment="1">
      <alignment horizontal="center" vertical="center" wrapText="1"/>
    </xf>
    <xf numFmtId="0" fontId="31" fillId="0" borderId="18" xfId="135" applyFont="1" applyBorder="1" applyAlignment="1">
      <alignment horizontal="center" vertical="top" wrapText="1"/>
    </xf>
    <xf numFmtId="0" fontId="31" fillId="0" borderId="45" xfId="135" applyFont="1" applyBorder="1" applyAlignment="1">
      <alignment horizontal="center" vertical="top" wrapText="1"/>
    </xf>
    <xf numFmtId="0" fontId="31" fillId="0" borderId="65" xfId="135" applyFont="1" applyBorder="1" applyAlignment="1">
      <alignment horizontal="center" vertical="top" wrapText="1"/>
    </xf>
    <xf numFmtId="166" fontId="27" fillId="0" borderId="18" xfId="136" applyFont="1" applyBorder="1" applyAlignment="1">
      <alignment horizontal="center" vertical="center" wrapText="1"/>
    </xf>
    <xf numFmtId="166" fontId="27" fillId="0" borderId="45" xfId="136" applyFont="1" applyBorder="1" applyAlignment="1">
      <alignment horizontal="center" vertical="center" wrapText="1"/>
    </xf>
    <xf numFmtId="166" fontId="27" fillId="0" borderId="65" xfId="136" applyFont="1" applyBorder="1" applyAlignment="1">
      <alignment horizontal="center" vertical="center" wrapText="1"/>
    </xf>
    <xf numFmtId="0" fontId="20" fillId="0" borderId="46" xfId="136" applyNumberFormat="1" applyFont="1" applyBorder="1" applyAlignment="1">
      <alignment horizontal="right" vertical="center" wrapText="1"/>
    </xf>
    <xf numFmtId="0" fontId="20" fillId="0" borderId="47" xfId="136" applyNumberFormat="1" applyFont="1" applyBorder="1" applyAlignment="1">
      <alignment horizontal="right" vertical="center" wrapText="1"/>
    </xf>
    <xf numFmtId="0" fontId="20" fillId="0" borderId="21" xfId="136" applyNumberFormat="1" applyFont="1" applyBorder="1" applyAlignment="1">
      <alignment horizontal="right" vertical="center" wrapText="1"/>
    </xf>
    <xf numFmtId="166" fontId="20" fillId="0" borderId="66" xfId="136" applyFont="1" applyBorder="1" applyAlignment="1">
      <alignment horizontal="center" vertical="center" wrapText="1"/>
    </xf>
    <xf numFmtId="166" fontId="20" fillId="0" borderId="67" xfId="136" applyFont="1" applyBorder="1" applyAlignment="1">
      <alignment horizontal="center" vertical="center" wrapText="1"/>
    </xf>
    <xf numFmtId="166" fontId="20" fillId="0" borderId="19" xfId="136" applyFont="1" applyBorder="1" applyAlignment="1">
      <alignment horizontal="center" vertical="center" wrapText="1"/>
    </xf>
    <xf numFmtId="0" fontId="20" fillId="0" borderId="66" xfId="136" applyNumberFormat="1" applyFont="1" applyBorder="1" applyAlignment="1">
      <alignment horizontal="center" vertical="center" wrapText="1"/>
    </xf>
    <xf numFmtId="0" fontId="20" fillId="0" borderId="67" xfId="136" applyNumberFormat="1" applyFont="1" applyBorder="1" applyAlignment="1">
      <alignment horizontal="center" vertical="center" wrapText="1"/>
    </xf>
    <xf numFmtId="0" fontId="20" fillId="0" borderId="19" xfId="136" applyNumberFormat="1" applyFont="1" applyBorder="1" applyAlignment="1">
      <alignment horizontal="center" vertical="center" wrapText="1"/>
    </xf>
    <xf numFmtId="2" fontId="20" fillId="0" borderId="66" xfId="136" applyNumberFormat="1" applyFont="1" applyBorder="1" applyAlignment="1">
      <alignment horizontal="center" vertical="center" wrapText="1"/>
    </xf>
    <xf numFmtId="2" fontId="20" fillId="0" borderId="67" xfId="136" applyNumberFormat="1" applyFont="1" applyBorder="1" applyAlignment="1">
      <alignment horizontal="center" vertical="center" wrapText="1"/>
    </xf>
    <xf numFmtId="2" fontId="20" fillId="0" borderId="19" xfId="136" applyNumberFormat="1" applyFont="1" applyBorder="1" applyAlignment="1">
      <alignment horizontal="center" vertical="center" wrapText="1"/>
    </xf>
    <xf numFmtId="165" fontId="20" fillId="0" borderId="66" xfId="136" applyNumberFormat="1" applyFont="1" applyBorder="1" applyAlignment="1">
      <alignment horizontal="center" vertical="center" wrapText="1"/>
    </xf>
    <xf numFmtId="165" fontId="20" fillId="0" borderId="67" xfId="136" applyNumberFormat="1" applyFont="1" applyBorder="1" applyAlignment="1">
      <alignment horizontal="center" vertical="center" wrapText="1"/>
    </xf>
    <xf numFmtId="165" fontId="20" fillId="0" borderId="19" xfId="136" applyNumberFormat="1" applyFont="1" applyBorder="1" applyAlignment="1">
      <alignment horizontal="center" vertical="center" wrapText="1"/>
    </xf>
    <xf numFmtId="166" fontId="20" fillId="0" borderId="54" xfId="136" applyFont="1" applyBorder="1" applyAlignment="1">
      <alignment horizontal="center" vertical="center" wrapText="1"/>
    </xf>
    <xf numFmtId="166" fontId="20" fillId="0" borderId="68" xfId="136" applyFont="1" applyBorder="1" applyAlignment="1">
      <alignment horizontal="center" vertical="center" wrapText="1"/>
    </xf>
    <xf numFmtId="166" fontId="20" fillId="0" borderId="22" xfId="136" applyFont="1" applyBorder="1" applyAlignment="1">
      <alignment horizontal="center" vertical="center" wrapText="1"/>
    </xf>
    <xf numFmtId="166" fontId="20" fillId="26" borderId="82" xfId="136" applyFont="1" applyFill="1" applyBorder="1" applyAlignment="1">
      <alignment horizontal="center" vertical="center" wrapText="1"/>
    </xf>
    <xf numFmtId="166" fontId="20" fillId="26" borderId="67" xfId="136" applyFont="1" applyFill="1" applyBorder="1" applyAlignment="1">
      <alignment horizontal="center" vertical="center" wrapText="1"/>
    </xf>
    <xf numFmtId="166" fontId="20" fillId="26" borderId="19" xfId="136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37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/>
    </xf>
    <xf numFmtId="0" fontId="42" fillId="0" borderId="45" xfId="0" applyFont="1" applyBorder="1" applyAlignment="1">
      <alignment horizontal="center"/>
    </xf>
    <xf numFmtId="0" fontId="41" fillId="0" borderId="66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51" xfId="0" applyFont="1" applyBorder="1" applyAlignment="1">
      <alignment horizontal="center" vertical="center" wrapText="1"/>
    </xf>
    <xf numFmtId="0" fontId="41" fillId="0" borderId="53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71" xfId="0" applyFont="1" applyBorder="1" applyAlignment="1">
      <alignment horizontal="center" vertical="center"/>
    </xf>
    <xf numFmtId="0" fontId="41" fillId="0" borderId="47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41" fillId="0" borderId="66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4" fontId="36" fillId="0" borderId="11" xfId="39" applyNumberFormat="1" applyFont="1" applyBorder="1" applyAlignment="1">
      <alignment horizontal="center" vertical="top" wrapText="1"/>
    </xf>
    <xf numFmtId="4" fontId="36" fillId="0" borderId="30" xfId="39" applyNumberFormat="1" applyFont="1" applyBorder="1" applyAlignment="1">
      <alignment horizontal="center" vertical="top" wrapText="1"/>
    </xf>
    <xf numFmtId="0" fontId="44" fillId="0" borderId="0" xfId="0" applyFont="1" applyAlignment="1">
      <alignment horizontal="right"/>
    </xf>
    <xf numFmtId="0" fontId="41" fillId="0" borderId="0" xfId="0" applyFont="1" applyAlignment="1">
      <alignment horizontal="right"/>
    </xf>
  </cellXfs>
  <cellStyles count="190">
    <cellStyle name="20% - Акцент1 2" xfId="47"/>
    <cellStyle name="20% - Акцент1 3" xfId="92"/>
    <cellStyle name="20% - Акцент1 4" xfId="2"/>
    <cellStyle name="20% - Акцент2 2" xfId="48"/>
    <cellStyle name="20% - Акцент2 3" xfId="93"/>
    <cellStyle name="20% - Акцент2 4" xfId="3"/>
    <cellStyle name="20% - Акцент3 2" xfId="49"/>
    <cellStyle name="20% - Акцент3 3" xfId="94"/>
    <cellStyle name="20% - Акцент3 4" xfId="4"/>
    <cellStyle name="20% - Акцент4 2" xfId="50"/>
    <cellStyle name="20% - Акцент4 3" xfId="95"/>
    <cellStyle name="20% - Акцент4 4" xfId="5"/>
    <cellStyle name="20% - Акцент5 2" xfId="51"/>
    <cellStyle name="20% - Акцент5 3" xfId="96"/>
    <cellStyle name="20% - Акцент5 4" xfId="6"/>
    <cellStyle name="20% - Акцент6 2" xfId="52"/>
    <cellStyle name="20% - Акцент6 3" xfId="97"/>
    <cellStyle name="20% - Акцент6 4" xfId="7"/>
    <cellStyle name="40% - Акцент1 2" xfId="53"/>
    <cellStyle name="40% - Акцент1 3" xfId="98"/>
    <cellStyle name="40% - Акцент1 4" xfId="8"/>
    <cellStyle name="40% - Акцент2 2" xfId="54"/>
    <cellStyle name="40% - Акцент2 3" xfId="99"/>
    <cellStyle name="40% - Акцент2 4" xfId="9"/>
    <cellStyle name="40% - Акцент3 2" xfId="55"/>
    <cellStyle name="40% - Акцент3 3" xfId="100"/>
    <cellStyle name="40% - Акцент3 4" xfId="10"/>
    <cellStyle name="40% - Акцент4 2" xfId="56"/>
    <cellStyle name="40% - Акцент4 3" xfId="101"/>
    <cellStyle name="40% - Акцент4 4" xfId="11"/>
    <cellStyle name="40% - Акцент5 2" xfId="57"/>
    <cellStyle name="40% - Акцент5 3" xfId="102"/>
    <cellStyle name="40% - Акцент5 4" xfId="12"/>
    <cellStyle name="40% - Акцент6 2" xfId="58"/>
    <cellStyle name="40% - Акцент6 3" xfId="103"/>
    <cellStyle name="40% - Акцент6 4" xfId="13"/>
    <cellStyle name="60% - Акцент1 2" xfId="59"/>
    <cellStyle name="60% - Акцент1 3" xfId="104"/>
    <cellStyle name="60% - Акцент1 4" xfId="14"/>
    <cellStyle name="60% - Акцент2 2" xfId="60"/>
    <cellStyle name="60% - Акцент2 3" xfId="105"/>
    <cellStyle name="60% - Акцент2 4" xfId="15"/>
    <cellStyle name="60% - Акцент3 2" xfId="61"/>
    <cellStyle name="60% - Акцент3 3" xfId="106"/>
    <cellStyle name="60% - Акцент3 4" xfId="16"/>
    <cellStyle name="60% - Акцент4 2" xfId="62"/>
    <cellStyle name="60% - Акцент4 3" xfId="107"/>
    <cellStyle name="60% - Акцент4 4" xfId="17"/>
    <cellStyle name="60% - Акцент5 2" xfId="63"/>
    <cellStyle name="60% - Акцент5 3" xfId="108"/>
    <cellStyle name="60% - Акцент5 4" xfId="18"/>
    <cellStyle name="60% - Акцент6 2" xfId="64"/>
    <cellStyle name="60% - Акцент6 3" xfId="109"/>
    <cellStyle name="60% - Акцент6 4" xfId="19"/>
    <cellStyle name="Comma" xfId="143"/>
    <cellStyle name="Comma [0]" xfId="144"/>
    <cellStyle name="Currency" xfId="141"/>
    <cellStyle name="Currency [0]" xfId="142"/>
    <cellStyle name="Normal" xfId="137"/>
    <cellStyle name="Percent" xfId="140"/>
    <cellStyle name="Акцент1 2" xfId="65"/>
    <cellStyle name="Акцент1 3" xfId="110"/>
    <cellStyle name="Акцент1 4" xfId="20"/>
    <cellStyle name="Акцент2 2" xfId="66"/>
    <cellStyle name="Акцент2 3" xfId="111"/>
    <cellStyle name="Акцент2 4" xfId="21"/>
    <cellStyle name="Акцент3 2" xfId="67"/>
    <cellStyle name="Акцент3 3" xfId="112"/>
    <cellStyle name="Акцент3 4" xfId="22"/>
    <cellStyle name="Акцент4 2" xfId="68"/>
    <cellStyle name="Акцент4 3" xfId="113"/>
    <cellStyle name="Акцент4 4" xfId="23"/>
    <cellStyle name="Акцент5 2" xfId="69"/>
    <cellStyle name="Акцент5 3" xfId="114"/>
    <cellStyle name="Акцент5 4" xfId="24"/>
    <cellStyle name="Акцент6 2" xfId="70"/>
    <cellStyle name="Акцент6 3" xfId="115"/>
    <cellStyle name="Акцент6 4" xfId="25"/>
    <cellStyle name="Ввод  2" xfId="71"/>
    <cellStyle name="Ввод  2 2" xfId="150"/>
    <cellStyle name="Ввод  2 3" xfId="185"/>
    <cellStyle name="Ввод  2 4" xfId="182"/>
    <cellStyle name="Ввод  3" xfId="116"/>
    <cellStyle name="Ввод  3 2" xfId="155"/>
    <cellStyle name="Ввод  3 3" xfId="183"/>
    <cellStyle name="Ввод  3 4" xfId="172"/>
    <cellStyle name="Ввод  4" xfId="26"/>
    <cellStyle name="Ввод  4 2" xfId="145"/>
    <cellStyle name="Ввод  4 3" xfId="180"/>
    <cellStyle name="Ввод  4 4" xfId="166"/>
    <cellStyle name="Вывод 2" xfId="72"/>
    <cellStyle name="Вывод 2 2" xfId="151"/>
    <cellStyle name="Вывод 2 3" xfId="176"/>
    <cellStyle name="Вывод 2 4" xfId="161"/>
    <cellStyle name="Вывод 3" xfId="117"/>
    <cellStyle name="Вывод 3 2" xfId="156"/>
    <cellStyle name="Вывод 3 3" xfId="171"/>
    <cellStyle name="Вывод 3 4" xfId="177"/>
    <cellStyle name="Вывод 4" xfId="27"/>
    <cellStyle name="Вывод 4 2" xfId="146"/>
    <cellStyle name="Вывод 4 3" xfId="181"/>
    <cellStyle name="Вывод 4 4" xfId="188"/>
    <cellStyle name="Вычисление 2" xfId="73"/>
    <cellStyle name="Вычисление 2 2" xfId="152"/>
    <cellStyle name="Вычисление 2 3" xfId="163"/>
    <cellStyle name="Вычисление 2 4" xfId="167"/>
    <cellStyle name="Вычисление 3" xfId="118"/>
    <cellStyle name="Вычисление 3 2" xfId="157"/>
    <cellStyle name="Вычисление 3 3" xfId="162"/>
    <cellStyle name="Вычисление 3 4" xfId="179"/>
    <cellStyle name="Вычисление 4" xfId="28"/>
    <cellStyle name="Вычисление 4 2" xfId="147"/>
    <cellStyle name="Вычисление 4 3" xfId="189"/>
    <cellStyle name="Вычисление 4 4" xfId="168"/>
    <cellStyle name="Заголовок 1 2" xfId="74"/>
    <cellStyle name="Заголовок 1 3" xfId="119"/>
    <cellStyle name="Заголовок 1 4" xfId="29"/>
    <cellStyle name="Заголовок 2 2" xfId="75"/>
    <cellStyle name="Заголовок 2 3" xfId="120"/>
    <cellStyle name="Заголовок 2 4" xfId="30"/>
    <cellStyle name="Заголовок 3 2" xfId="76"/>
    <cellStyle name="Заголовок 3 3" xfId="121"/>
    <cellStyle name="Заголовок 3 4" xfId="31"/>
    <cellStyle name="Заголовок 4 2" xfId="77"/>
    <cellStyle name="Заголовок 4 3" xfId="122"/>
    <cellStyle name="Заголовок 4 4" xfId="32"/>
    <cellStyle name="Итог 2" xfId="78"/>
    <cellStyle name="Итог 2 2" xfId="153"/>
    <cellStyle name="Итог 2 3" xfId="175"/>
    <cellStyle name="Итог 2 4" xfId="164"/>
    <cellStyle name="Итог 3" xfId="123"/>
    <cellStyle name="Итог 3 2" xfId="158"/>
    <cellStyle name="Итог 3 3" xfId="170"/>
    <cellStyle name="Итог 3 4" xfId="165"/>
    <cellStyle name="Итог 4" xfId="33"/>
    <cellStyle name="Итог 4 2" xfId="148"/>
    <cellStyle name="Итог 4 3" xfId="160"/>
    <cellStyle name="Итог 4 4" xfId="174"/>
    <cellStyle name="Контрольная ячейка 2" xfId="79"/>
    <cellStyle name="Контрольная ячейка 3" xfId="124"/>
    <cellStyle name="Контрольная ячейка 4" xfId="34"/>
    <cellStyle name="Название 2" xfId="80"/>
    <cellStyle name="Название 3" xfId="125"/>
    <cellStyle name="Название 4" xfId="35"/>
    <cellStyle name="Нейтральный 2" xfId="81"/>
    <cellStyle name="Нейтральный 3" xfId="126"/>
    <cellStyle name="Нейтральный 4" xfId="36"/>
    <cellStyle name="Обычный" xfId="0" builtinId="0"/>
    <cellStyle name="Обычный 2" xfId="37"/>
    <cellStyle name="Обычный 2 2" xfId="135"/>
    <cellStyle name="Обычный 3" xfId="38"/>
    <cellStyle name="Обычный 4" xfId="46"/>
    <cellStyle name="Обычный 4 2" xfId="133"/>
    <cellStyle name="Обычный 5" xfId="91"/>
    <cellStyle name="Обычный 6" xfId="90"/>
    <cellStyle name="Обычный 7" xfId="1"/>
    <cellStyle name="Обычный 8" xfId="134"/>
    <cellStyle name="Обычный 9" xfId="139"/>
    <cellStyle name="Обычный_Лист1" xfId="39"/>
    <cellStyle name="Плохой 2" xfId="82"/>
    <cellStyle name="Плохой 3" xfId="127"/>
    <cellStyle name="Плохой 4" xfId="40"/>
    <cellStyle name="Пояснение 2" xfId="83"/>
    <cellStyle name="Пояснение 3" xfId="128"/>
    <cellStyle name="Пояснение 4" xfId="41"/>
    <cellStyle name="Примечание 2" xfId="84"/>
    <cellStyle name="Примечание 2 2" xfId="154"/>
    <cellStyle name="Примечание 2 3" xfId="173"/>
    <cellStyle name="Примечание 2 4" xfId="186"/>
    <cellStyle name="Примечание 3" xfId="129"/>
    <cellStyle name="Примечание 3 2" xfId="159"/>
    <cellStyle name="Примечание 3 3" xfId="169"/>
    <cellStyle name="Примечание 3 4" xfId="187"/>
    <cellStyle name="Примечание 4" xfId="42"/>
    <cellStyle name="Примечание 4 2" xfId="149"/>
    <cellStyle name="Примечание 4 3" xfId="178"/>
    <cellStyle name="Примечание 4 4" xfId="184"/>
    <cellStyle name="Связанная ячейка 2" xfId="85"/>
    <cellStyle name="Связанная ячейка 3" xfId="130"/>
    <cellStyle name="Связанная ячейка 4" xfId="43"/>
    <cellStyle name="Текст предупреждения 2" xfId="86"/>
    <cellStyle name="Текст предупреждения 3" xfId="131"/>
    <cellStyle name="Текст предупреждения 4" xfId="44"/>
    <cellStyle name="Финансовый" xfId="138" builtinId="3"/>
    <cellStyle name="Финансовый 2" xfId="87"/>
    <cellStyle name="Финансовый 3" xfId="89"/>
    <cellStyle name="Финансовый 4" xfId="136"/>
    <cellStyle name="Хороший 2" xfId="88"/>
    <cellStyle name="Хороший 3" xfId="132"/>
    <cellStyle name="Хороший 4" xfId="45"/>
  </cellStyles>
  <dxfs count="17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opLeftCell="A13" zoomScaleNormal="100" zoomScaleSheetLayoutView="100" workbookViewId="0">
      <selection activeCell="L14" sqref="L14"/>
    </sheetView>
  </sheetViews>
  <sheetFormatPr defaultColWidth="8.85546875" defaultRowHeight="15" x14ac:dyDescent="0.25"/>
  <cols>
    <col min="1" max="1" width="42.85546875" style="252" customWidth="1"/>
    <col min="2" max="3" width="10.85546875" style="252" customWidth="1"/>
    <col min="4" max="4" width="10.85546875" style="252" hidden="1" customWidth="1"/>
    <col min="5" max="5" width="15.42578125" style="252" customWidth="1"/>
    <col min="6" max="7" width="7.7109375" style="252" hidden="1" customWidth="1"/>
    <col min="8" max="8" width="13.42578125" style="252" hidden="1" customWidth="1"/>
    <col min="9" max="9" width="12.5703125" style="252" customWidth="1"/>
    <col min="10" max="10" width="12.5703125" style="334" customWidth="1"/>
    <col min="11" max="11" width="22.42578125" style="252" customWidth="1"/>
    <col min="12" max="12" width="11" style="252" customWidth="1"/>
    <col min="13" max="16384" width="8.85546875" style="252"/>
  </cols>
  <sheetData>
    <row r="1" spans="1:13" x14ac:dyDescent="0.25">
      <c r="A1" s="252" t="s">
        <v>284</v>
      </c>
      <c r="E1" s="253"/>
      <c r="K1" s="254"/>
    </row>
    <row r="2" spans="1:13" ht="15.75" x14ac:dyDescent="0.25">
      <c r="A2" s="256"/>
      <c r="B2" s="256"/>
      <c r="C2" s="256"/>
      <c r="D2" s="380" t="s">
        <v>286</v>
      </c>
      <c r="E2" s="380"/>
      <c r="F2" s="380" t="s">
        <v>287</v>
      </c>
      <c r="G2" s="380"/>
      <c r="H2" s="255"/>
      <c r="I2" s="255" t="s">
        <v>295</v>
      </c>
      <c r="J2" s="335"/>
      <c r="K2" s="255" t="s">
        <v>296</v>
      </c>
      <c r="L2" s="384" t="s">
        <v>300</v>
      </c>
      <c r="M2" s="384"/>
    </row>
    <row r="3" spans="1:13" ht="19.5" customHeight="1" x14ac:dyDescent="0.25">
      <c r="A3" s="381" t="s">
        <v>0</v>
      </c>
      <c r="B3" s="381" t="s">
        <v>93</v>
      </c>
      <c r="C3" s="381"/>
      <c r="D3" s="381" t="s">
        <v>241</v>
      </c>
      <c r="E3" s="381"/>
      <c r="F3" s="323"/>
      <c r="G3" s="324"/>
      <c r="H3" s="378" t="s">
        <v>204</v>
      </c>
      <c r="I3" s="378" t="s">
        <v>204</v>
      </c>
      <c r="J3" s="336"/>
      <c r="K3" s="378" t="s">
        <v>299</v>
      </c>
      <c r="L3" s="382" t="s">
        <v>297</v>
      </c>
      <c r="M3" s="383" t="s">
        <v>298</v>
      </c>
    </row>
    <row r="4" spans="1:13" ht="27" customHeight="1" x14ac:dyDescent="0.25">
      <c r="A4" s="381"/>
      <c r="B4" s="381"/>
      <c r="C4" s="381"/>
      <c r="D4" s="381"/>
      <c r="E4" s="381"/>
      <c r="F4" s="325"/>
      <c r="G4" s="326"/>
      <c r="H4" s="379"/>
      <c r="I4" s="379"/>
      <c r="J4" s="337"/>
      <c r="K4" s="379"/>
      <c r="L4" s="382"/>
      <c r="M4" s="383"/>
    </row>
    <row r="5" spans="1:13" ht="15.75" customHeight="1" x14ac:dyDescent="0.25">
      <c r="A5" s="381"/>
      <c r="B5" s="329" t="s">
        <v>290</v>
      </c>
      <c r="C5" s="329" t="s">
        <v>92</v>
      </c>
      <c r="D5" s="329" t="s">
        <v>288</v>
      </c>
      <c r="E5" s="329" t="s">
        <v>289</v>
      </c>
      <c r="F5" s="327"/>
      <c r="G5" s="328"/>
      <c r="H5" s="316" t="s">
        <v>288</v>
      </c>
      <c r="I5" s="316" t="s">
        <v>289</v>
      </c>
      <c r="J5" s="338"/>
      <c r="K5" s="316"/>
      <c r="L5" s="382"/>
      <c r="M5" s="383"/>
    </row>
    <row r="6" spans="1:13" ht="29.25" customHeight="1" x14ac:dyDescent="0.25">
      <c r="A6" s="318" t="s">
        <v>1</v>
      </c>
      <c r="B6" s="257" t="s">
        <v>94</v>
      </c>
      <c r="C6" s="319">
        <f>(88.2+102.84)/2</f>
        <v>95.52000000000001</v>
      </c>
      <c r="D6" s="259">
        <v>390</v>
      </c>
      <c r="E6" s="260">
        <v>450</v>
      </c>
      <c r="F6" s="259" t="s">
        <v>2</v>
      </c>
      <c r="G6" s="259" t="s">
        <v>3</v>
      </c>
      <c r="H6" s="258">
        <f>C6*D6/1000</f>
        <v>37.252800000000001</v>
      </c>
      <c r="I6" s="258">
        <f>C6*E6/1000</f>
        <v>42.984000000000009</v>
      </c>
      <c r="J6" s="339"/>
      <c r="K6" s="332">
        <v>66.232585439999994</v>
      </c>
      <c r="L6" s="333">
        <f t="shared" ref="L6:L19" si="0">C6/K6*100</f>
        <v>144.21904167780292</v>
      </c>
      <c r="M6" s="333">
        <f t="shared" ref="M6:M36" si="1">C6-K6</f>
        <v>29.287414560000016</v>
      </c>
    </row>
    <row r="7" spans="1:13" ht="29.25" customHeight="1" x14ac:dyDescent="0.25">
      <c r="A7" s="318" t="s">
        <v>4</v>
      </c>
      <c r="B7" s="257" t="s">
        <v>95</v>
      </c>
      <c r="C7" s="319">
        <v>436.36</v>
      </c>
      <c r="D7" s="259">
        <v>30</v>
      </c>
      <c r="E7" s="259">
        <v>40</v>
      </c>
      <c r="F7" s="259" t="s">
        <v>5</v>
      </c>
      <c r="G7" s="259" t="s">
        <v>6</v>
      </c>
      <c r="H7" s="258">
        <f t="shared" ref="H7:H35" si="2">C7*D7/1000</f>
        <v>13.090800000000002</v>
      </c>
      <c r="I7" s="258">
        <f>C7*E7/1000</f>
        <v>17.4544</v>
      </c>
      <c r="J7" s="339"/>
      <c r="K7" s="332">
        <v>399.27819758400005</v>
      </c>
      <c r="L7" s="333">
        <f t="shared" si="0"/>
        <v>109.28720942951028</v>
      </c>
      <c r="M7" s="333">
        <f t="shared" si="1"/>
        <v>37.08180241599996</v>
      </c>
    </row>
    <row r="8" spans="1:13" ht="17.25" customHeight="1" x14ac:dyDescent="0.25">
      <c r="A8" s="318" t="s">
        <v>7</v>
      </c>
      <c r="B8" s="257" t="s">
        <v>95</v>
      </c>
      <c r="C8" s="319">
        <v>360.31</v>
      </c>
      <c r="D8" s="259">
        <v>9</v>
      </c>
      <c r="E8" s="259">
        <v>11</v>
      </c>
      <c r="F8" s="259" t="s">
        <v>8</v>
      </c>
      <c r="G8" s="259" t="s">
        <v>9</v>
      </c>
      <c r="H8" s="258">
        <f t="shared" si="2"/>
        <v>3.2427899999999998</v>
      </c>
      <c r="I8" s="258">
        <f>C8*E8/1000</f>
        <v>3.9634099999999997</v>
      </c>
      <c r="J8" s="339"/>
      <c r="K8" s="332">
        <v>400.41593524799998</v>
      </c>
      <c r="L8" s="333">
        <f t="shared" si="0"/>
        <v>89.983931278069605</v>
      </c>
      <c r="M8" s="333">
        <f t="shared" si="1"/>
        <v>-40.10593524799998</v>
      </c>
    </row>
    <row r="9" spans="1:13" ht="17.25" customHeight="1" x14ac:dyDescent="0.25">
      <c r="A9" s="318" t="s">
        <v>10</v>
      </c>
      <c r="B9" s="257" t="s">
        <v>95</v>
      </c>
      <c r="C9" s="319">
        <v>873.91</v>
      </c>
      <c r="D9" s="259">
        <v>4.3</v>
      </c>
      <c r="E9" s="259">
        <v>6.4</v>
      </c>
      <c r="F9" s="259" t="s">
        <v>11</v>
      </c>
      <c r="G9" s="259" t="s">
        <v>12</v>
      </c>
      <c r="H9" s="258">
        <f t="shared" si="2"/>
        <v>3.7578129999999996</v>
      </c>
      <c r="I9" s="258">
        <f>C9*E9/1000</f>
        <v>5.5930240000000007</v>
      </c>
      <c r="J9" s="339"/>
      <c r="K9" s="332">
        <v>777.45407040000009</v>
      </c>
      <c r="L9" s="333">
        <f t="shared" si="0"/>
        <v>112.40664024697604</v>
      </c>
      <c r="M9" s="333">
        <f t="shared" si="1"/>
        <v>96.455929599999877</v>
      </c>
    </row>
    <row r="10" spans="1:13" ht="17.25" customHeight="1" x14ac:dyDescent="0.25">
      <c r="A10" s="318" t="s">
        <v>96</v>
      </c>
      <c r="B10" s="257" t="s">
        <v>95</v>
      </c>
      <c r="C10" s="319">
        <v>442.77</v>
      </c>
      <c r="D10" s="259">
        <v>68</v>
      </c>
      <c r="E10" s="259">
        <v>75</v>
      </c>
      <c r="F10" s="259" t="s">
        <v>13</v>
      </c>
      <c r="G10" s="259" t="s">
        <v>14</v>
      </c>
      <c r="H10" s="258">
        <f t="shared" si="2"/>
        <v>30.108360000000001</v>
      </c>
      <c r="I10" s="258">
        <f>C10*E10/1000</f>
        <v>33.207749999999997</v>
      </c>
      <c r="J10" s="339"/>
      <c r="K10" s="332">
        <v>352.15689600000002</v>
      </c>
      <c r="L10" s="333">
        <f t="shared" si="0"/>
        <v>125.73089013142595</v>
      </c>
      <c r="M10" s="333">
        <f t="shared" si="1"/>
        <v>90.613103999999964</v>
      </c>
    </row>
    <row r="11" spans="1:13" ht="44.25" customHeight="1" x14ac:dyDescent="0.25">
      <c r="A11" s="318" t="s">
        <v>15</v>
      </c>
      <c r="B11" s="257" t="s">
        <v>95</v>
      </c>
      <c r="C11" s="319">
        <v>333.93</v>
      </c>
      <c r="D11" s="259">
        <v>23</v>
      </c>
      <c r="E11" s="259" t="s">
        <v>280</v>
      </c>
      <c r="F11" s="259" t="s">
        <v>16</v>
      </c>
      <c r="G11" s="259" t="s">
        <v>17</v>
      </c>
      <c r="H11" s="258">
        <f t="shared" si="2"/>
        <v>7.6803900000000001</v>
      </c>
      <c r="I11" s="258">
        <f>C11*0.027</f>
        <v>9.0161099999999994</v>
      </c>
      <c r="J11" s="339"/>
      <c r="K11" s="332">
        <v>230.25643199999999</v>
      </c>
      <c r="L11" s="333">
        <f t="shared" si="0"/>
        <v>145.0252647014004</v>
      </c>
      <c r="M11" s="333">
        <f t="shared" si="1"/>
        <v>103.67356800000002</v>
      </c>
    </row>
    <row r="12" spans="1:13" ht="34.5" customHeight="1" x14ac:dyDescent="0.25">
      <c r="A12" s="318" t="s">
        <v>18</v>
      </c>
      <c r="B12" s="257" t="s">
        <v>95</v>
      </c>
      <c r="C12" s="320">
        <f>191.94</f>
        <v>191.94</v>
      </c>
      <c r="D12" s="259">
        <v>34</v>
      </c>
      <c r="E12" s="259">
        <v>39</v>
      </c>
      <c r="F12" s="259" t="s">
        <v>19</v>
      </c>
      <c r="G12" s="259" t="s">
        <v>20</v>
      </c>
      <c r="H12" s="258">
        <f t="shared" si="2"/>
        <v>6.5259600000000004</v>
      </c>
      <c r="I12" s="258">
        <f>C12*E12/1000</f>
        <v>7.4856600000000002</v>
      </c>
      <c r="J12" s="339"/>
      <c r="K12" s="332">
        <v>157.617299952</v>
      </c>
      <c r="L12" s="333">
        <f t="shared" si="0"/>
        <v>121.77597259847268</v>
      </c>
      <c r="M12" s="333">
        <f t="shared" si="1"/>
        <v>34.322700048000002</v>
      </c>
    </row>
    <row r="13" spans="1:13" ht="17.25" customHeight="1" x14ac:dyDescent="0.25">
      <c r="A13" s="318" t="s">
        <v>21</v>
      </c>
      <c r="B13" s="257" t="s">
        <v>95</v>
      </c>
      <c r="C13" s="320">
        <f>(512.57+687.6+468.48)/3</f>
        <v>556.2166666666667</v>
      </c>
      <c r="D13" s="259">
        <v>0</v>
      </c>
      <c r="E13" s="259">
        <v>7</v>
      </c>
      <c r="F13" s="259" t="s">
        <v>22</v>
      </c>
      <c r="G13" s="259" t="s">
        <v>24</v>
      </c>
      <c r="H13" s="258">
        <f t="shared" si="2"/>
        <v>0</v>
      </c>
      <c r="I13" s="258">
        <f>C13*E13/1000</f>
        <v>3.8935166666666667</v>
      </c>
      <c r="J13" s="339"/>
      <c r="K13" s="332">
        <v>474.66686232000001</v>
      </c>
      <c r="L13" s="333">
        <f t="shared" si="0"/>
        <v>117.18042922737027</v>
      </c>
      <c r="M13" s="333">
        <f t="shared" si="1"/>
        <v>81.54980434666669</v>
      </c>
    </row>
    <row r="14" spans="1:13" ht="17.25" customHeight="1" x14ac:dyDescent="0.25">
      <c r="A14" s="318" t="s">
        <v>25</v>
      </c>
      <c r="B14" s="257" t="s">
        <v>97</v>
      </c>
      <c r="C14" s="319">
        <f>157.04/10</f>
        <v>15.703999999999999</v>
      </c>
      <c r="D14" s="257">
        <v>0.5</v>
      </c>
      <c r="E14" s="257">
        <v>0.6</v>
      </c>
      <c r="F14" s="257" t="s">
        <v>16</v>
      </c>
      <c r="G14" s="257" t="s">
        <v>17</v>
      </c>
      <c r="H14" s="258">
        <f t="shared" si="2"/>
        <v>7.8519999999999996E-3</v>
      </c>
      <c r="I14" s="258">
        <f>C14*E14</f>
        <v>9.4223999999999997</v>
      </c>
      <c r="J14" s="339"/>
      <c r="K14" s="332">
        <v>9.8874820799999998</v>
      </c>
      <c r="L14" s="333">
        <f t="shared" si="0"/>
        <v>158.82708937359712</v>
      </c>
      <c r="M14" s="333">
        <f t="shared" si="1"/>
        <v>5.816517919999999</v>
      </c>
    </row>
    <row r="15" spans="1:13" ht="17.25" customHeight="1" x14ac:dyDescent="0.25">
      <c r="A15" s="318" t="s">
        <v>98</v>
      </c>
      <c r="B15" s="257" t="s">
        <v>95</v>
      </c>
      <c r="C15" s="319">
        <v>29.2</v>
      </c>
      <c r="D15" s="259">
        <v>160</v>
      </c>
      <c r="E15" s="259">
        <v>187</v>
      </c>
      <c r="F15" s="259" t="s">
        <v>26</v>
      </c>
      <c r="G15" s="259" t="s">
        <v>27</v>
      </c>
      <c r="H15" s="258">
        <f t="shared" si="2"/>
        <v>4.6719999999999997</v>
      </c>
      <c r="I15" s="258">
        <f>C15*E15/1000</f>
        <v>5.4603999999999999</v>
      </c>
      <c r="J15" s="339"/>
      <c r="K15" s="332">
        <v>26.885824560000003</v>
      </c>
      <c r="L15" s="333">
        <f t="shared" si="0"/>
        <v>108.60741851095376</v>
      </c>
      <c r="M15" s="333">
        <f t="shared" si="1"/>
        <v>2.3141754399999961</v>
      </c>
    </row>
    <row r="16" spans="1:13" ht="17.25" customHeight="1" x14ac:dyDescent="0.25">
      <c r="A16" s="318" t="s">
        <v>99</v>
      </c>
      <c r="B16" s="257" t="s">
        <v>95</v>
      </c>
      <c r="C16" s="320">
        <f>(28.84+38.11+41.91)/3</f>
        <v>36.286666666666669</v>
      </c>
      <c r="D16" s="259">
        <v>256</v>
      </c>
      <c r="E16" s="259">
        <v>325</v>
      </c>
      <c r="F16" s="259" t="s">
        <v>28</v>
      </c>
      <c r="G16" s="259" t="s">
        <v>29</v>
      </c>
      <c r="H16" s="258">
        <f t="shared" si="2"/>
        <v>9.2893866666666671</v>
      </c>
      <c r="I16" s="258">
        <f>C16*E16/1000</f>
        <v>11.793166666666668</v>
      </c>
      <c r="J16" s="339"/>
      <c r="K16" s="332">
        <v>60.408452159999996</v>
      </c>
      <c r="L16" s="333">
        <f t="shared" si="0"/>
        <v>60.068856872141829</v>
      </c>
      <c r="M16" s="333">
        <f t="shared" si="1"/>
        <v>-24.121785493333327</v>
      </c>
    </row>
    <row r="17" spans="1:13" ht="17.25" customHeight="1" x14ac:dyDescent="0.25">
      <c r="A17" s="318" t="s">
        <v>30</v>
      </c>
      <c r="B17" s="257" t="s">
        <v>95</v>
      </c>
      <c r="C17" s="320">
        <f>(175.5+216)/2</f>
        <v>195.75</v>
      </c>
      <c r="D17" s="259">
        <v>108</v>
      </c>
      <c r="E17" s="259">
        <v>114</v>
      </c>
      <c r="F17" s="259" t="s">
        <v>31</v>
      </c>
      <c r="G17" s="259" t="s">
        <v>32</v>
      </c>
      <c r="H17" s="258">
        <f t="shared" si="2"/>
        <v>21.140999999999998</v>
      </c>
      <c r="I17" s="258">
        <f>C17*E17/1000</f>
        <v>22.3155</v>
      </c>
      <c r="J17" s="339"/>
      <c r="K17" s="332">
        <v>162.533952</v>
      </c>
      <c r="L17" s="333">
        <f t="shared" si="0"/>
        <v>120.43637504119755</v>
      </c>
      <c r="M17" s="333">
        <f t="shared" si="1"/>
        <v>33.216048000000001</v>
      </c>
    </row>
    <row r="18" spans="1:13" ht="17.25" customHeight="1" x14ac:dyDescent="0.25">
      <c r="A18" s="318" t="s">
        <v>33</v>
      </c>
      <c r="B18" s="322" t="s">
        <v>95</v>
      </c>
      <c r="C18" s="319">
        <f>(159+169)/2</f>
        <v>164</v>
      </c>
      <c r="D18" s="259">
        <v>9</v>
      </c>
      <c r="E18" s="259">
        <v>11</v>
      </c>
      <c r="F18" s="259" t="s">
        <v>8</v>
      </c>
      <c r="G18" s="259" t="s">
        <v>9</v>
      </c>
      <c r="H18" s="258">
        <f t="shared" si="2"/>
        <v>1.476</v>
      </c>
      <c r="I18" s="258">
        <f>C18*E18/1000</f>
        <v>1.804</v>
      </c>
      <c r="J18" s="339"/>
      <c r="K18" s="332">
        <v>281.72551680000004</v>
      </c>
      <c r="L18" s="333">
        <f t="shared" si="0"/>
        <v>58.212689380360729</v>
      </c>
      <c r="M18" s="333">
        <f t="shared" si="1"/>
        <v>-117.72551680000004</v>
      </c>
    </row>
    <row r="19" spans="1:13" ht="17.25" customHeight="1" x14ac:dyDescent="0.25">
      <c r="A19" s="318" t="s">
        <v>34</v>
      </c>
      <c r="B19" s="322" t="s">
        <v>100</v>
      </c>
      <c r="C19" s="320">
        <f>(108+189.8+99.9)/4</f>
        <v>99.425000000000011</v>
      </c>
      <c r="D19" s="259">
        <v>100</v>
      </c>
      <c r="E19" s="259">
        <v>100</v>
      </c>
      <c r="F19" s="259" t="s">
        <v>32</v>
      </c>
      <c r="G19" s="259" t="s">
        <v>32</v>
      </c>
      <c r="H19" s="258">
        <f t="shared" si="2"/>
        <v>9.9425000000000026</v>
      </c>
      <c r="I19" s="258">
        <f>C19*E19/1000</f>
        <v>9.9425000000000026</v>
      </c>
      <c r="J19" s="339"/>
      <c r="K19" s="332">
        <v>109.16863776</v>
      </c>
      <c r="L19" s="333">
        <f t="shared" si="0"/>
        <v>91.074691449919229</v>
      </c>
      <c r="M19" s="333">
        <f t="shared" si="1"/>
        <v>-9.7436377599999844</v>
      </c>
    </row>
    <row r="20" spans="1:13" ht="27.75" customHeight="1" x14ac:dyDescent="0.25">
      <c r="A20" s="262" t="s">
        <v>35</v>
      </c>
      <c r="B20" s="257"/>
      <c r="C20" s="319"/>
      <c r="D20" s="259">
        <v>0</v>
      </c>
      <c r="E20" s="259">
        <v>50</v>
      </c>
      <c r="F20" s="259" t="s">
        <v>22</v>
      </c>
      <c r="G20" s="259" t="s">
        <v>13</v>
      </c>
      <c r="H20" s="258">
        <f t="shared" si="2"/>
        <v>0</v>
      </c>
      <c r="I20" s="258">
        <v>0</v>
      </c>
      <c r="J20" s="339"/>
      <c r="K20" s="332">
        <v>0</v>
      </c>
      <c r="L20" s="333"/>
      <c r="M20" s="333">
        <f t="shared" si="1"/>
        <v>0</v>
      </c>
    </row>
    <row r="21" spans="1:13" ht="17.25" customHeight="1" x14ac:dyDescent="0.25">
      <c r="A21" s="318" t="s">
        <v>36</v>
      </c>
      <c r="B21" s="257" t="s">
        <v>95</v>
      </c>
      <c r="C21" s="319">
        <v>96.46</v>
      </c>
      <c r="D21" s="259">
        <v>40</v>
      </c>
      <c r="E21" s="259">
        <v>50</v>
      </c>
      <c r="F21" s="259" t="s">
        <v>6</v>
      </c>
      <c r="G21" s="259" t="s">
        <v>13</v>
      </c>
      <c r="H21" s="258">
        <f t="shared" si="2"/>
        <v>3.8583999999999996</v>
      </c>
      <c r="I21" s="258">
        <f t="shared" ref="I21:I35" si="3">C21*E21/1000</f>
        <v>4.8230000000000004</v>
      </c>
      <c r="J21" s="339"/>
      <c r="K21" s="332">
        <v>74.535361488000007</v>
      </c>
      <c r="L21" s="333">
        <f t="shared" ref="L21:L36" si="4">C21/K21*100</f>
        <v>129.41508308848785</v>
      </c>
      <c r="M21" s="333">
        <f t="shared" si="1"/>
        <v>21.924638511999987</v>
      </c>
    </row>
    <row r="22" spans="1:13" ht="17.25" customHeight="1" x14ac:dyDescent="0.25">
      <c r="A22" s="318" t="s">
        <v>37</v>
      </c>
      <c r="B22" s="257" t="s">
        <v>95</v>
      </c>
      <c r="C22" s="319">
        <v>98.75</v>
      </c>
      <c r="D22" s="259">
        <v>60</v>
      </c>
      <c r="E22" s="259">
        <v>80</v>
      </c>
      <c r="F22" s="259" t="s">
        <v>38</v>
      </c>
      <c r="G22" s="259" t="s">
        <v>39</v>
      </c>
      <c r="H22" s="258">
        <f t="shared" si="2"/>
        <v>5.9249999999999998</v>
      </c>
      <c r="I22" s="258">
        <f t="shared" si="3"/>
        <v>7.9</v>
      </c>
      <c r="J22" s="339"/>
      <c r="K22" s="332">
        <v>98.333040959999977</v>
      </c>
      <c r="L22" s="333">
        <f t="shared" si="4"/>
        <v>100.42402740312855</v>
      </c>
      <c r="M22" s="333">
        <f t="shared" si="1"/>
        <v>0.41695904000002315</v>
      </c>
    </row>
    <row r="23" spans="1:13" ht="17.25" customHeight="1" x14ac:dyDescent="0.25">
      <c r="A23" s="318" t="s">
        <v>40</v>
      </c>
      <c r="B23" s="257" t="s">
        <v>95</v>
      </c>
      <c r="C23" s="319">
        <f>(132.34+57.82+85.77)/3</f>
        <v>91.976666666666674</v>
      </c>
      <c r="D23" s="259">
        <v>30</v>
      </c>
      <c r="E23" s="259">
        <v>43</v>
      </c>
      <c r="F23" s="259" t="s">
        <v>5</v>
      </c>
      <c r="G23" s="259" t="s">
        <v>41</v>
      </c>
      <c r="H23" s="258">
        <f t="shared" si="2"/>
        <v>2.7593000000000001</v>
      </c>
      <c r="I23" s="258">
        <f t="shared" si="3"/>
        <v>3.9549966666666667</v>
      </c>
      <c r="J23" s="339"/>
      <c r="K23" s="332">
        <v>48.949808544</v>
      </c>
      <c r="L23" s="333">
        <f t="shared" si="4"/>
        <v>187.89995181286704</v>
      </c>
      <c r="M23" s="333">
        <f t="shared" si="1"/>
        <v>43.026858122666674</v>
      </c>
    </row>
    <row r="24" spans="1:13" ht="17.25" customHeight="1" x14ac:dyDescent="0.25">
      <c r="A24" s="318" t="s">
        <v>42</v>
      </c>
      <c r="B24" s="257" t="s">
        <v>95</v>
      </c>
      <c r="C24" s="319">
        <f>(73.47+86.9)/2</f>
        <v>80.185000000000002</v>
      </c>
      <c r="D24" s="259">
        <v>8</v>
      </c>
      <c r="E24" s="259">
        <v>12</v>
      </c>
      <c r="F24" s="259" t="s">
        <v>43</v>
      </c>
      <c r="G24" s="259" t="s">
        <v>44</v>
      </c>
      <c r="H24" s="258">
        <f t="shared" si="2"/>
        <v>0.64148000000000005</v>
      </c>
      <c r="I24" s="258">
        <f t="shared" si="3"/>
        <v>0.96222000000000008</v>
      </c>
      <c r="J24" s="339"/>
      <c r="K24" s="332">
        <v>72.327608639999994</v>
      </c>
      <c r="L24" s="333">
        <f t="shared" si="4"/>
        <v>110.86361281362005</v>
      </c>
      <c r="M24" s="333">
        <f t="shared" si="1"/>
        <v>7.8573913600000083</v>
      </c>
    </row>
    <row r="25" spans="1:13" ht="17.25" customHeight="1" x14ac:dyDescent="0.25">
      <c r="A25" s="318" t="s">
        <v>45</v>
      </c>
      <c r="B25" s="257" t="s">
        <v>95</v>
      </c>
      <c r="C25" s="319">
        <v>49.65</v>
      </c>
      <c r="D25" s="259">
        <v>25</v>
      </c>
      <c r="E25" s="259">
        <v>29</v>
      </c>
      <c r="F25" s="259" t="s">
        <v>46</v>
      </c>
      <c r="G25" s="259" t="s">
        <v>47</v>
      </c>
      <c r="H25" s="258">
        <f t="shared" si="2"/>
        <v>1.24125</v>
      </c>
      <c r="I25" s="258">
        <f t="shared" si="3"/>
        <v>1.4398499999999999</v>
      </c>
      <c r="J25" s="339"/>
      <c r="K25" s="332">
        <v>42.814151855999995</v>
      </c>
      <c r="L25" s="333">
        <f t="shared" si="4"/>
        <v>115.96632853312502</v>
      </c>
      <c r="M25" s="333">
        <f t="shared" si="1"/>
        <v>6.8358481440000034</v>
      </c>
    </row>
    <row r="26" spans="1:13" ht="17.25" customHeight="1" x14ac:dyDescent="0.25">
      <c r="A26" s="318" t="s">
        <v>48</v>
      </c>
      <c r="B26" s="257" t="s">
        <v>95</v>
      </c>
      <c r="C26" s="319">
        <v>985.42</v>
      </c>
      <c r="D26" s="259">
        <v>18</v>
      </c>
      <c r="E26" s="259">
        <v>21</v>
      </c>
      <c r="F26" s="259" t="s">
        <v>49</v>
      </c>
      <c r="G26" s="259" t="s">
        <v>50</v>
      </c>
      <c r="H26" s="258">
        <f t="shared" si="2"/>
        <v>17.737559999999998</v>
      </c>
      <c r="I26" s="258">
        <f t="shared" si="3"/>
        <v>20.693819999999999</v>
      </c>
      <c r="J26" s="339"/>
      <c r="K26" s="332">
        <v>880.39224000000002</v>
      </c>
      <c r="L26" s="333">
        <f t="shared" si="4"/>
        <v>111.92965535452697</v>
      </c>
      <c r="M26" s="333">
        <f t="shared" si="1"/>
        <v>105.02775999999994</v>
      </c>
    </row>
    <row r="27" spans="1:13" ht="17.25" customHeight="1" x14ac:dyDescent="0.25">
      <c r="A27" s="318" t="s">
        <v>51</v>
      </c>
      <c r="B27" s="257" t="s">
        <v>95</v>
      </c>
      <c r="C27" s="319">
        <v>142.93</v>
      </c>
      <c r="D27" s="259">
        <v>9</v>
      </c>
      <c r="E27" s="259">
        <v>11</v>
      </c>
      <c r="F27" s="259" t="s">
        <v>8</v>
      </c>
      <c r="G27" s="259" t="s">
        <v>9</v>
      </c>
      <c r="H27" s="258">
        <f t="shared" si="2"/>
        <v>1.28637</v>
      </c>
      <c r="I27" s="258">
        <f t="shared" si="3"/>
        <v>1.57223</v>
      </c>
      <c r="J27" s="339"/>
      <c r="K27" s="332">
        <v>127.75168627199999</v>
      </c>
      <c r="L27" s="333">
        <f t="shared" si="4"/>
        <v>111.8811063641723</v>
      </c>
      <c r="M27" s="333">
        <f t="shared" si="1"/>
        <v>15.17831372800002</v>
      </c>
    </row>
    <row r="28" spans="1:13" ht="17.25" customHeight="1" x14ac:dyDescent="0.25">
      <c r="A28" s="318" t="s">
        <v>101</v>
      </c>
      <c r="B28" s="257" t="s">
        <v>95</v>
      </c>
      <c r="C28" s="319">
        <v>271.86</v>
      </c>
      <c r="D28" s="259">
        <v>7</v>
      </c>
      <c r="E28" s="259">
        <v>20</v>
      </c>
      <c r="F28" s="259" t="s">
        <v>23</v>
      </c>
      <c r="G28" s="259" t="s">
        <v>16</v>
      </c>
      <c r="H28" s="258">
        <f t="shared" si="2"/>
        <v>1.9030199999999999</v>
      </c>
      <c r="I28" s="258">
        <f t="shared" si="3"/>
        <v>5.4372000000000007</v>
      </c>
      <c r="J28" s="339"/>
      <c r="K28" s="332">
        <v>214.13848175999999</v>
      </c>
      <c r="L28" s="333">
        <f t="shared" si="4"/>
        <v>126.95522904878563</v>
      </c>
      <c r="M28" s="333">
        <f t="shared" si="1"/>
        <v>57.721518240000023</v>
      </c>
    </row>
    <row r="29" spans="1:13" ht="17.25" customHeight="1" x14ac:dyDescent="0.25">
      <c r="A29" s="318" t="s">
        <v>52</v>
      </c>
      <c r="B29" s="257" t="s">
        <v>95</v>
      </c>
      <c r="C29" s="319">
        <v>753.79</v>
      </c>
      <c r="D29" s="259">
        <v>0.5</v>
      </c>
      <c r="E29" s="259">
        <v>0.6</v>
      </c>
      <c r="F29" s="259" t="s">
        <v>53</v>
      </c>
      <c r="G29" s="259" t="s">
        <v>54</v>
      </c>
      <c r="H29" s="258">
        <f t="shared" si="2"/>
        <v>0.37689499999999998</v>
      </c>
      <c r="I29" s="258">
        <f t="shared" si="3"/>
        <v>0.45227399999999995</v>
      </c>
      <c r="J29" s="339"/>
      <c r="K29" s="332">
        <v>761.97271147200001</v>
      </c>
      <c r="L29" s="333">
        <f t="shared" si="4"/>
        <v>98.926114892462166</v>
      </c>
      <c r="M29" s="333">
        <f t="shared" si="1"/>
        <v>-8.1827114720000509</v>
      </c>
    </row>
    <row r="30" spans="1:13" ht="17.25" customHeight="1" x14ac:dyDescent="0.25">
      <c r="A30" s="318" t="s">
        <v>55</v>
      </c>
      <c r="B30" s="257" t="s">
        <v>95</v>
      </c>
      <c r="C30" s="319">
        <f>79.79*10</f>
        <v>797.90000000000009</v>
      </c>
      <c r="D30" s="259">
        <v>0.5</v>
      </c>
      <c r="E30" s="259">
        <v>0.6</v>
      </c>
      <c r="F30" s="259" t="s">
        <v>53</v>
      </c>
      <c r="G30" s="259" t="s">
        <v>54</v>
      </c>
      <c r="H30" s="258">
        <f t="shared" si="2"/>
        <v>0.39895000000000003</v>
      </c>
      <c r="I30" s="258">
        <f t="shared" si="3"/>
        <v>0.47874</v>
      </c>
      <c r="J30" s="339"/>
      <c r="K30" s="332">
        <v>963.01366559999997</v>
      </c>
      <c r="L30" s="333">
        <f t="shared" si="4"/>
        <v>82.854483638388785</v>
      </c>
      <c r="M30" s="333">
        <f t="shared" si="1"/>
        <v>-165.11366559999988</v>
      </c>
    </row>
    <row r="31" spans="1:13" ht="17.25" customHeight="1" x14ac:dyDescent="0.25">
      <c r="A31" s="318" t="s">
        <v>102</v>
      </c>
      <c r="B31" s="257" t="s">
        <v>95</v>
      </c>
      <c r="C31" s="319">
        <f>(38.5*100/85)*10</f>
        <v>452.94117647058829</v>
      </c>
      <c r="D31" s="259">
        <v>1</v>
      </c>
      <c r="E31" s="259">
        <v>1.2</v>
      </c>
      <c r="F31" s="259" t="s">
        <v>56</v>
      </c>
      <c r="G31" s="259" t="s">
        <v>57</v>
      </c>
      <c r="H31" s="258">
        <f t="shared" si="2"/>
        <v>0.45294117647058829</v>
      </c>
      <c r="I31" s="258">
        <f t="shared" si="3"/>
        <v>0.54352941176470593</v>
      </c>
      <c r="J31" s="339"/>
      <c r="K31" s="332">
        <v>609.50232000000005</v>
      </c>
      <c r="L31" s="333">
        <f t="shared" si="4"/>
        <v>74.313281772346372</v>
      </c>
      <c r="M31" s="333">
        <f t="shared" si="1"/>
        <v>-156.56114352941177</v>
      </c>
    </row>
    <row r="32" spans="1:13" ht="17.25" customHeight="1" x14ac:dyDescent="0.25">
      <c r="A32" s="318" t="s">
        <v>58</v>
      </c>
      <c r="B32" s="257" t="s">
        <v>95</v>
      </c>
      <c r="C32" s="319">
        <v>88.97</v>
      </c>
      <c r="D32" s="259">
        <v>37</v>
      </c>
      <c r="E32" s="259">
        <v>47</v>
      </c>
      <c r="F32" s="259" t="s">
        <v>20</v>
      </c>
      <c r="G32" s="259" t="s">
        <v>59</v>
      </c>
      <c r="H32" s="258">
        <f t="shared" si="2"/>
        <v>3.29189</v>
      </c>
      <c r="I32" s="258">
        <f t="shared" si="3"/>
        <v>4.1815899999999999</v>
      </c>
      <c r="J32" s="339"/>
      <c r="K32" s="332">
        <v>60.950232</v>
      </c>
      <c r="L32" s="333">
        <f t="shared" si="4"/>
        <v>145.97155265955345</v>
      </c>
      <c r="M32" s="333">
        <f t="shared" si="1"/>
        <v>28.019767999999999</v>
      </c>
    </row>
    <row r="33" spans="1:13" ht="17.25" customHeight="1" x14ac:dyDescent="0.25">
      <c r="A33" s="318" t="s">
        <v>60</v>
      </c>
      <c r="B33" s="257" t="s">
        <v>95</v>
      </c>
      <c r="C33" s="319">
        <f>27.9*10</f>
        <v>279</v>
      </c>
      <c r="D33" s="259">
        <v>0.4</v>
      </c>
      <c r="E33" s="259">
        <v>0.5</v>
      </c>
      <c r="F33" s="259" t="s">
        <v>61</v>
      </c>
      <c r="G33" s="259" t="s">
        <v>53</v>
      </c>
      <c r="H33" s="258">
        <f t="shared" si="2"/>
        <v>0.1116</v>
      </c>
      <c r="I33" s="258">
        <f t="shared" si="3"/>
        <v>0.13950000000000001</v>
      </c>
      <c r="J33" s="339"/>
      <c r="K33" s="332">
        <v>758.49177599999996</v>
      </c>
      <c r="L33" s="333">
        <f t="shared" si="4"/>
        <v>36.78352341159728</v>
      </c>
      <c r="M33" s="333">
        <f t="shared" si="1"/>
        <v>-479.49177599999996</v>
      </c>
    </row>
    <row r="34" spans="1:13" ht="17.25" customHeight="1" x14ac:dyDescent="0.25">
      <c r="A34" s="318" t="s">
        <v>62</v>
      </c>
      <c r="B34" s="257" t="s">
        <v>95</v>
      </c>
      <c r="C34" s="319">
        <f>(59.9*1000/180)</f>
        <v>332.77777777777777</v>
      </c>
      <c r="D34" s="259">
        <v>2</v>
      </c>
      <c r="E34" s="259">
        <v>3</v>
      </c>
      <c r="F34" s="259" t="s">
        <v>63</v>
      </c>
      <c r="G34" s="259" t="s">
        <v>64</v>
      </c>
      <c r="H34" s="258">
        <f t="shared" si="2"/>
        <v>0.66555555555555557</v>
      </c>
      <c r="I34" s="258">
        <f t="shared" si="3"/>
        <v>0.99833333333333329</v>
      </c>
      <c r="J34" s="339"/>
      <c r="K34" s="332">
        <v>397.53095760000002</v>
      </c>
      <c r="L34" s="333">
        <f t="shared" si="4"/>
        <v>83.711160455740512</v>
      </c>
      <c r="M34" s="333">
        <f t="shared" si="1"/>
        <v>-64.753179822222251</v>
      </c>
    </row>
    <row r="35" spans="1:13" ht="17.25" customHeight="1" thickBot="1" x14ac:dyDescent="0.3">
      <c r="A35" s="318" t="s">
        <v>65</v>
      </c>
      <c r="B35" s="257" t="s">
        <v>95</v>
      </c>
      <c r="C35" s="319">
        <v>23.33</v>
      </c>
      <c r="D35" s="259">
        <v>4</v>
      </c>
      <c r="E35" s="263">
        <v>6</v>
      </c>
      <c r="F35" s="259" t="s">
        <v>11</v>
      </c>
      <c r="G35" s="259" t="s">
        <v>12</v>
      </c>
      <c r="H35" s="258">
        <f t="shared" si="2"/>
        <v>9.3319999999999986E-2</v>
      </c>
      <c r="I35" s="258">
        <f t="shared" si="3"/>
        <v>0.13997999999999999</v>
      </c>
      <c r="J35" s="339"/>
      <c r="K35" s="332">
        <v>21.996261503999996</v>
      </c>
      <c r="L35" s="333">
        <f>C35/K35*100</f>
        <v>106.06347808584411</v>
      </c>
      <c r="M35" s="333">
        <f t="shared" si="1"/>
        <v>1.3337384960000023</v>
      </c>
    </row>
    <row r="36" spans="1:13" ht="15.75" x14ac:dyDescent="0.25">
      <c r="A36" s="255"/>
      <c r="B36" s="255"/>
      <c r="C36" s="341">
        <f>SUM(C6:C35)</f>
        <v>8377.2629542483664</v>
      </c>
      <c r="D36" s="255"/>
      <c r="E36" s="255"/>
      <c r="F36" s="255"/>
      <c r="G36" s="255"/>
      <c r="H36" s="264">
        <f>SUM(H6:H35)</f>
        <v>188.93118339869281</v>
      </c>
      <c r="I36" s="264">
        <f>SUM(I6:I35)</f>
        <v>238.05310074509799</v>
      </c>
      <c r="J36" s="340"/>
      <c r="K36" s="264">
        <f>SUM(K6:K35)</f>
        <v>8641.3884479999997</v>
      </c>
      <c r="L36" s="333">
        <f t="shared" si="4"/>
        <v>96.943483152724568</v>
      </c>
      <c r="M36" s="333">
        <f t="shared" si="1"/>
        <v>-264.12549375163326</v>
      </c>
    </row>
    <row r="37" spans="1:13" x14ac:dyDescent="0.25">
      <c r="I37" s="333">
        <v>206.71</v>
      </c>
    </row>
    <row r="38" spans="1:13" x14ac:dyDescent="0.25">
      <c r="E38" s="252" t="s">
        <v>309</v>
      </c>
      <c r="I38" s="333">
        <f>I36/I37*100</f>
        <v>115.1628371849925</v>
      </c>
    </row>
  </sheetData>
  <mergeCells count="11">
    <mergeCell ref="I3:I4"/>
    <mergeCell ref="K3:K4"/>
    <mergeCell ref="L3:L5"/>
    <mergeCell ref="M3:M5"/>
    <mergeCell ref="L2:M2"/>
    <mergeCell ref="H3:H4"/>
    <mergeCell ref="D2:E2"/>
    <mergeCell ref="F2:G2"/>
    <mergeCell ref="A3:A5"/>
    <mergeCell ref="B3:C4"/>
    <mergeCell ref="D3:E4"/>
  </mergeCells>
  <pageMargins left="0.51181102362204722" right="0.5118110236220472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view="pageBreakPreview" topLeftCell="A19" zoomScaleNormal="100" zoomScaleSheetLayoutView="100" workbookViewId="0">
      <selection activeCell="I36" sqref="I36"/>
    </sheetView>
  </sheetViews>
  <sheetFormatPr defaultColWidth="8.85546875" defaultRowHeight="15" x14ac:dyDescent="0.25"/>
  <cols>
    <col min="1" max="1" width="42.85546875" style="252" customWidth="1"/>
    <col min="2" max="3" width="10.85546875" style="252" customWidth="1"/>
    <col min="4" max="4" width="10.85546875" style="252" hidden="1" customWidth="1"/>
    <col min="5" max="5" width="15.42578125" style="252" customWidth="1"/>
    <col min="6" max="7" width="7.7109375" style="252" hidden="1" customWidth="1"/>
    <col min="8" max="8" width="13.42578125" style="252" hidden="1" customWidth="1"/>
    <col min="9" max="9" width="12.5703125" style="252" customWidth="1"/>
    <col min="10" max="10" width="22.42578125" style="252" customWidth="1"/>
    <col min="11" max="16384" width="8.85546875" style="252"/>
  </cols>
  <sheetData>
    <row r="1" spans="1:10" x14ac:dyDescent="0.25">
      <c r="A1" s="252" t="s">
        <v>284</v>
      </c>
      <c r="E1" s="253"/>
      <c r="J1" s="254"/>
    </row>
    <row r="2" spans="1:10" ht="15.75" x14ac:dyDescent="0.25">
      <c r="A2" s="256"/>
      <c r="B2" s="256"/>
      <c r="C2" s="256"/>
      <c r="D2" s="380" t="s">
        <v>286</v>
      </c>
      <c r="E2" s="380"/>
      <c r="F2" s="380" t="s">
        <v>287</v>
      </c>
      <c r="G2" s="380"/>
      <c r="H2" s="255"/>
      <c r="I2" s="255"/>
      <c r="J2" s="255"/>
    </row>
    <row r="3" spans="1:10" ht="19.5" customHeight="1" x14ac:dyDescent="0.25">
      <c r="A3" s="381" t="s">
        <v>0</v>
      </c>
      <c r="B3" s="381" t="s">
        <v>93</v>
      </c>
      <c r="C3" s="381"/>
      <c r="D3" s="381" t="s">
        <v>241</v>
      </c>
      <c r="E3" s="381"/>
      <c r="F3" s="323"/>
      <c r="G3" s="324"/>
      <c r="H3" s="378" t="s">
        <v>204</v>
      </c>
      <c r="I3" s="378" t="s">
        <v>204</v>
      </c>
      <c r="J3" s="255"/>
    </row>
    <row r="4" spans="1:10" ht="27" customHeight="1" x14ac:dyDescent="0.25">
      <c r="A4" s="381"/>
      <c r="B4" s="381"/>
      <c r="C4" s="381"/>
      <c r="D4" s="381"/>
      <c r="E4" s="381"/>
      <c r="F4" s="325"/>
      <c r="G4" s="326"/>
      <c r="H4" s="379"/>
      <c r="I4" s="379"/>
      <c r="J4" s="255"/>
    </row>
    <row r="5" spans="1:10" ht="15.75" customHeight="1" x14ac:dyDescent="0.25">
      <c r="A5" s="381"/>
      <c r="B5" s="317" t="s">
        <v>290</v>
      </c>
      <c r="C5" s="317" t="s">
        <v>92</v>
      </c>
      <c r="D5" s="317" t="s">
        <v>288</v>
      </c>
      <c r="E5" s="317" t="s">
        <v>289</v>
      </c>
      <c r="F5" s="327"/>
      <c r="G5" s="328"/>
      <c r="H5" s="316" t="s">
        <v>288</v>
      </c>
      <c r="I5" s="316" t="s">
        <v>289</v>
      </c>
      <c r="J5" s="255"/>
    </row>
    <row r="6" spans="1:10" ht="29.25" customHeight="1" x14ac:dyDescent="0.25">
      <c r="A6" s="318" t="s">
        <v>1</v>
      </c>
      <c r="B6" s="257" t="s">
        <v>94</v>
      </c>
      <c r="C6" s="319">
        <f>(88.2+102.84)/2</f>
        <v>95.52000000000001</v>
      </c>
      <c r="D6" s="259">
        <v>390</v>
      </c>
      <c r="E6" s="260">
        <v>450</v>
      </c>
      <c r="F6" s="259" t="s">
        <v>2</v>
      </c>
      <c r="G6" s="259" t="s">
        <v>3</v>
      </c>
      <c r="H6" s="258">
        <f>C6*D6/1000</f>
        <v>37.252800000000001</v>
      </c>
      <c r="I6" s="258">
        <f>C6*E6/1000</f>
        <v>42.984000000000009</v>
      </c>
      <c r="J6" s="255"/>
    </row>
    <row r="7" spans="1:10" ht="29.25" customHeight="1" x14ac:dyDescent="0.25">
      <c r="A7" s="318" t="s">
        <v>4</v>
      </c>
      <c r="B7" s="257" t="s">
        <v>95</v>
      </c>
      <c r="C7" s="319">
        <v>436.36</v>
      </c>
      <c r="D7" s="259">
        <v>30</v>
      </c>
      <c r="E7" s="259">
        <v>40</v>
      </c>
      <c r="F7" s="259" t="s">
        <v>5</v>
      </c>
      <c r="G7" s="259" t="s">
        <v>6</v>
      </c>
      <c r="H7" s="258">
        <f t="shared" ref="H7:H35" si="0">C7*D7/1000</f>
        <v>13.090800000000002</v>
      </c>
      <c r="I7" s="258">
        <f>C7*E7/1000</f>
        <v>17.4544</v>
      </c>
      <c r="J7" s="255"/>
    </row>
    <row r="8" spans="1:10" ht="17.25" customHeight="1" x14ac:dyDescent="0.25">
      <c r="A8" s="318" t="s">
        <v>7</v>
      </c>
      <c r="B8" s="257" t="s">
        <v>95</v>
      </c>
      <c r="C8" s="319">
        <v>360.31</v>
      </c>
      <c r="D8" s="259">
        <v>9</v>
      </c>
      <c r="E8" s="259">
        <v>11</v>
      </c>
      <c r="F8" s="259" t="s">
        <v>8</v>
      </c>
      <c r="G8" s="259" t="s">
        <v>9</v>
      </c>
      <c r="H8" s="258">
        <f t="shared" si="0"/>
        <v>3.2427899999999998</v>
      </c>
      <c r="I8" s="258">
        <f>C8*E8/1000</f>
        <v>3.9634099999999997</v>
      </c>
      <c r="J8" s="255"/>
    </row>
    <row r="9" spans="1:10" ht="17.25" customHeight="1" x14ac:dyDescent="0.25">
      <c r="A9" s="318" t="s">
        <v>10</v>
      </c>
      <c r="B9" s="257" t="s">
        <v>95</v>
      </c>
      <c r="C9" s="319">
        <v>873.91</v>
      </c>
      <c r="D9" s="259">
        <v>4.3</v>
      </c>
      <c r="E9" s="259">
        <v>6.4</v>
      </c>
      <c r="F9" s="259" t="s">
        <v>11</v>
      </c>
      <c r="G9" s="259" t="s">
        <v>12</v>
      </c>
      <c r="H9" s="258">
        <f t="shared" si="0"/>
        <v>3.7578129999999996</v>
      </c>
      <c r="I9" s="258">
        <f>C9*E9/1000</f>
        <v>5.5930240000000007</v>
      </c>
      <c r="J9" s="255"/>
    </row>
    <row r="10" spans="1:10" ht="17.25" customHeight="1" x14ac:dyDescent="0.25">
      <c r="A10" s="318" t="s">
        <v>96</v>
      </c>
      <c r="B10" s="257" t="s">
        <v>95</v>
      </c>
      <c r="C10" s="319">
        <v>442.77</v>
      </c>
      <c r="D10" s="259">
        <v>68</v>
      </c>
      <c r="E10" s="259">
        <v>75</v>
      </c>
      <c r="F10" s="259" t="s">
        <v>13</v>
      </c>
      <c r="G10" s="259" t="s">
        <v>14</v>
      </c>
      <c r="H10" s="258">
        <f t="shared" si="0"/>
        <v>30.108360000000001</v>
      </c>
      <c r="I10" s="258">
        <f>C10*E10/1000</f>
        <v>33.207749999999997</v>
      </c>
      <c r="J10" s="255"/>
    </row>
    <row r="11" spans="1:10" ht="44.25" customHeight="1" x14ac:dyDescent="0.25">
      <c r="A11" s="318" t="s">
        <v>15</v>
      </c>
      <c r="B11" s="257" t="s">
        <v>95</v>
      </c>
      <c r="C11" s="319">
        <v>333.93</v>
      </c>
      <c r="D11" s="259">
        <v>23</v>
      </c>
      <c r="E11" s="259" t="s">
        <v>280</v>
      </c>
      <c r="F11" s="259" t="s">
        <v>16</v>
      </c>
      <c r="G11" s="259" t="s">
        <v>17</v>
      </c>
      <c r="H11" s="258">
        <f t="shared" si="0"/>
        <v>7.6803900000000001</v>
      </c>
      <c r="I11" s="258">
        <f>C11*0.027</f>
        <v>9.0161099999999994</v>
      </c>
      <c r="J11" s="255"/>
    </row>
    <row r="12" spans="1:10" ht="34.5" customHeight="1" x14ac:dyDescent="0.25">
      <c r="A12" s="318" t="s">
        <v>18</v>
      </c>
      <c r="B12" s="257" t="s">
        <v>95</v>
      </c>
      <c r="C12" s="320">
        <f>191.94</f>
        <v>191.94</v>
      </c>
      <c r="D12" s="259">
        <v>34</v>
      </c>
      <c r="E12" s="259">
        <v>39</v>
      </c>
      <c r="F12" s="259" t="s">
        <v>19</v>
      </c>
      <c r="G12" s="259" t="s">
        <v>20</v>
      </c>
      <c r="H12" s="258">
        <f t="shared" si="0"/>
        <v>6.5259600000000004</v>
      </c>
      <c r="I12" s="258">
        <f>C12*E12/1000</f>
        <v>7.4856600000000002</v>
      </c>
      <c r="J12" s="255"/>
    </row>
    <row r="13" spans="1:10" ht="17.25" customHeight="1" x14ac:dyDescent="0.25">
      <c r="A13" s="318" t="s">
        <v>21</v>
      </c>
      <c r="B13" s="257" t="s">
        <v>95</v>
      </c>
      <c r="C13" s="320">
        <f>(512.57+687.6+468.48)/3</f>
        <v>556.2166666666667</v>
      </c>
      <c r="D13" s="259">
        <v>0</v>
      </c>
      <c r="E13" s="259">
        <v>7</v>
      </c>
      <c r="F13" s="259" t="s">
        <v>22</v>
      </c>
      <c r="G13" s="259" t="s">
        <v>24</v>
      </c>
      <c r="H13" s="258">
        <f t="shared" si="0"/>
        <v>0</v>
      </c>
      <c r="I13" s="258">
        <f>C13*E13/1000</f>
        <v>3.8935166666666667</v>
      </c>
      <c r="J13" s="255"/>
    </row>
    <row r="14" spans="1:10" ht="17.25" customHeight="1" x14ac:dyDescent="0.25">
      <c r="A14" s="318" t="s">
        <v>25</v>
      </c>
      <c r="B14" s="257" t="s">
        <v>97</v>
      </c>
      <c r="C14" s="319">
        <f>157.04/10</f>
        <v>15.703999999999999</v>
      </c>
      <c r="D14" s="257">
        <v>0.5</v>
      </c>
      <c r="E14" s="257">
        <v>0.6</v>
      </c>
      <c r="F14" s="257" t="s">
        <v>16</v>
      </c>
      <c r="G14" s="257" t="s">
        <v>17</v>
      </c>
      <c r="H14" s="258">
        <f t="shared" si="0"/>
        <v>7.8519999999999996E-3</v>
      </c>
      <c r="I14" s="258">
        <f>C14*E14</f>
        <v>9.4223999999999997</v>
      </c>
      <c r="J14" s="255"/>
    </row>
    <row r="15" spans="1:10" ht="17.25" customHeight="1" x14ac:dyDescent="0.25">
      <c r="A15" s="318" t="s">
        <v>98</v>
      </c>
      <c r="B15" s="257" t="s">
        <v>95</v>
      </c>
      <c r="C15" s="319">
        <v>29.2</v>
      </c>
      <c r="D15" s="259">
        <v>160</v>
      </c>
      <c r="E15" s="259">
        <v>187</v>
      </c>
      <c r="F15" s="259" t="s">
        <v>26</v>
      </c>
      <c r="G15" s="259" t="s">
        <v>27</v>
      </c>
      <c r="H15" s="258">
        <f t="shared" si="0"/>
        <v>4.6719999999999997</v>
      </c>
      <c r="I15" s="258">
        <f>C15*E15/1000</f>
        <v>5.4603999999999999</v>
      </c>
      <c r="J15" s="255"/>
    </row>
    <row r="16" spans="1:10" ht="17.25" customHeight="1" x14ac:dyDescent="0.25">
      <c r="A16" s="318" t="s">
        <v>99</v>
      </c>
      <c r="B16" s="257" t="s">
        <v>95</v>
      </c>
      <c r="C16" s="320">
        <f>(28.84+38.11+41.91)/3</f>
        <v>36.286666666666669</v>
      </c>
      <c r="D16" s="259">
        <v>256</v>
      </c>
      <c r="E16" s="259">
        <v>325</v>
      </c>
      <c r="F16" s="259" t="s">
        <v>28</v>
      </c>
      <c r="G16" s="259" t="s">
        <v>29</v>
      </c>
      <c r="H16" s="258">
        <f t="shared" si="0"/>
        <v>9.2893866666666671</v>
      </c>
      <c r="I16" s="258">
        <f>C16*E16/1000</f>
        <v>11.793166666666668</v>
      </c>
      <c r="J16" s="255"/>
    </row>
    <row r="17" spans="1:10" ht="17.25" customHeight="1" x14ac:dyDescent="0.25">
      <c r="A17" s="318" t="s">
        <v>30</v>
      </c>
      <c r="B17" s="257" t="s">
        <v>95</v>
      </c>
      <c r="C17" s="320">
        <f>(175.5+216)/2</f>
        <v>195.75</v>
      </c>
      <c r="D17" s="259">
        <v>108</v>
      </c>
      <c r="E17" s="259">
        <v>114</v>
      </c>
      <c r="F17" s="259" t="s">
        <v>31</v>
      </c>
      <c r="G17" s="259" t="s">
        <v>32</v>
      </c>
      <c r="H17" s="258">
        <f t="shared" si="0"/>
        <v>21.140999999999998</v>
      </c>
      <c r="I17" s="258">
        <f>C17*E17/1000</f>
        <v>22.3155</v>
      </c>
      <c r="J17" s="255"/>
    </row>
    <row r="18" spans="1:10" ht="17.25" customHeight="1" x14ac:dyDescent="0.25">
      <c r="A18" s="318" t="s">
        <v>33</v>
      </c>
      <c r="B18" s="322" t="s">
        <v>95</v>
      </c>
      <c r="C18" s="319">
        <f>(159+169)/2</f>
        <v>164</v>
      </c>
      <c r="D18" s="259">
        <v>9</v>
      </c>
      <c r="E18" s="259">
        <v>11</v>
      </c>
      <c r="F18" s="259" t="s">
        <v>8</v>
      </c>
      <c r="G18" s="259" t="s">
        <v>9</v>
      </c>
      <c r="H18" s="258">
        <f t="shared" si="0"/>
        <v>1.476</v>
      </c>
      <c r="I18" s="258">
        <f>C18*E18/1000</f>
        <v>1.804</v>
      </c>
      <c r="J18" s="261"/>
    </row>
    <row r="19" spans="1:10" ht="17.25" customHeight="1" x14ac:dyDescent="0.25">
      <c r="A19" s="318" t="s">
        <v>34</v>
      </c>
      <c r="B19" s="322" t="s">
        <v>100</v>
      </c>
      <c r="C19" s="320">
        <f>(108+189.8+99.9)/4</f>
        <v>99.425000000000011</v>
      </c>
      <c r="D19" s="259">
        <v>100</v>
      </c>
      <c r="E19" s="259">
        <v>100</v>
      </c>
      <c r="F19" s="259" t="s">
        <v>32</v>
      </c>
      <c r="G19" s="259" t="s">
        <v>32</v>
      </c>
      <c r="H19" s="258">
        <f t="shared" si="0"/>
        <v>9.9425000000000026</v>
      </c>
      <c r="I19" s="258">
        <f>C19*E19/1000</f>
        <v>9.9425000000000026</v>
      </c>
      <c r="J19" s="255"/>
    </row>
    <row r="20" spans="1:10" ht="27.75" customHeight="1" x14ac:dyDescent="0.25">
      <c r="A20" s="262" t="s">
        <v>35</v>
      </c>
      <c r="B20" s="257"/>
      <c r="C20" s="319"/>
      <c r="D20" s="259">
        <v>0</v>
      </c>
      <c r="E20" s="259">
        <v>50</v>
      </c>
      <c r="F20" s="259" t="s">
        <v>22</v>
      </c>
      <c r="G20" s="259" t="s">
        <v>13</v>
      </c>
      <c r="H20" s="258">
        <f t="shared" si="0"/>
        <v>0</v>
      </c>
      <c r="I20" s="258">
        <v>0</v>
      </c>
      <c r="J20" s="255"/>
    </row>
    <row r="21" spans="1:10" ht="17.25" customHeight="1" x14ac:dyDescent="0.25">
      <c r="A21" s="318" t="s">
        <v>36</v>
      </c>
      <c r="B21" s="257" t="s">
        <v>95</v>
      </c>
      <c r="C21" s="319">
        <v>96.46</v>
      </c>
      <c r="D21" s="259">
        <v>40</v>
      </c>
      <c r="E21" s="259">
        <v>50</v>
      </c>
      <c r="F21" s="259" t="s">
        <v>6</v>
      </c>
      <c r="G21" s="259" t="s">
        <v>13</v>
      </c>
      <c r="H21" s="258">
        <f t="shared" si="0"/>
        <v>3.8583999999999996</v>
      </c>
      <c r="I21" s="258">
        <f t="shared" ref="I21:I35" si="1">C21*E21/1000</f>
        <v>4.8230000000000004</v>
      </c>
      <c r="J21" s="255"/>
    </row>
    <row r="22" spans="1:10" ht="17.25" customHeight="1" x14ac:dyDescent="0.25">
      <c r="A22" s="318" t="s">
        <v>37</v>
      </c>
      <c r="B22" s="257" t="s">
        <v>95</v>
      </c>
      <c r="C22" s="319">
        <v>98.75</v>
      </c>
      <c r="D22" s="259">
        <v>60</v>
      </c>
      <c r="E22" s="259">
        <v>80</v>
      </c>
      <c r="F22" s="259" t="s">
        <v>38</v>
      </c>
      <c r="G22" s="259" t="s">
        <v>39</v>
      </c>
      <c r="H22" s="258">
        <f t="shared" si="0"/>
        <v>5.9249999999999998</v>
      </c>
      <c r="I22" s="258">
        <f t="shared" si="1"/>
        <v>7.9</v>
      </c>
      <c r="J22" s="255"/>
    </row>
    <row r="23" spans="1:10" ht="17.25" customHeight="1" x14ac:dyDescent="0.25">
      <c r="A23" s="318" t="s">
        <v>40</v>
      </c>
      <c r="B23" s="257" t="s">
        <v>95</v>
      </c>
      <c r="C23" s="319">
        <f>(132.34+57.82+85.77)/3</f>
        <v>91.976666666666674</v>
      </c>
      <c r="D23" s="259">
        <v>30</v>
      </c>
      <c r="E23" s="259">
        <v>43</v>
      </c>
      <c r="F23" s="259" t="s">
        <v>5</v>
      </c>
      <c r="G23" s="259" t="s">
        <v>41</v>
      </c>
      <c r="H23" s="258">
        <f t="shared" si="0"/>
        <v>2.7593000000000001</v>
      </c>
      <c r="I23" s="258">
        <f t="shared" si="1"/>
        <v>3.9549966666666667</v>
      </c>
      <c r="J23" s="255"/>
    </row>
    <row r="24" spans="1:10" ht="17.25" customHeight="1" x14ac:dyDescent="0.25">
      <c r="A24" s="318" t="s">
        <v>42</v>
      </c>
      <c r="B24" s="257" t="s">
        <v>95</v>
      </c>
      <c r="C24" s="319">
        <f>(73.47+86.9)/2</f>
        <v>80.185000000000002</v>
      </c>
      <c r="D24" s="259">
        <v>8</v>
      </c>
      <c r="E24" s="259">
        <v>12</v>
      </c>
      <c r="F24" s="259" t="s">
        <v>43</v>
      </c>
      <c r="G24" s="259" t="s">
        <v>44</v>
      </c>
      <c r="H24" s="258">
        <f t="shared" si="0"/>
        <v>0.64148000000000005</v>
      </c>
      <c r="I24" s="258">
        <f t="shared" si="1"/>
        <v>0.96222000000000008</v>
      </c>
      <c r="J24" s="255"/>
    </row>
    <row r="25" spans="1:10" ht="17.25" customHeight="1" x14ac:dyDescent="0.25">
      <c r="A25" s="318" t="s">
        <v>45</v>
      </c>
      <c r="B25" s="257" t="s">
        <v>95</v>
      </c>
      <c r="C25" s="319">
        <v>49.65</v>
      </c>
      <c r="D25" s="259">
        <v>25</v>
      </c>
      <c r="E25" s="259">
        <v>29</v>
      </c>
      <c r="F25" s="259" t="s">
        <v>46</v>
      </c>
      <c r="G25" s="259" t="s">
        <v>47</v>
      </c>
      <c r="H25" s="258">
        <f t="shared" si="0"/>
        <v>1.24125</v>
      </c>
      <c r="I25" s="258">
        <f t="shared" si="1"/>
        <v>1.4398499999999999</v>
      </c>
      <c r="J25" s="255"/>
    </row>
    <row r="26" spans="1:10" ht="17.25" customHeight="1" x14ac:dyDescent="0.25">
      <c r="A26" s="318" t="s">
        <v>48</v>
      </c>
      <c r="B26" s="257" t="s">
        <v>95</v>
      </c>
      <c r="C26" s="319">
        <v>985.42</v>
      </c>
      <c r="D26" s="259">
        <v>18</v>
      </c>
      <c r="E26" s="259">
        <v>21</v>
      </c>
      <c r="F26" s="259" t="s">
        <v>49</v>
      </c>
      <c r="G26" s="259" t="s">
        <v>50</v>
      </c>
      <c r="H26" s="258">
        <f t="shared" si="0"/>
        <v>17.737559999999998</v>
      </c>
      <c r="I26" s="258">
        <f t="shared" si="1"/>
        <v>20.693819999999999</v>
      </c>
      <c r="J26" s="255"/>
    </row>
    <row r="27" spans="1:10" ht="17.25" customHeight="1" x14ac:dyDescent="0.25">
      <c r="A27" s="318" t="s">
        <v>51</v>
      </c>
      <c r="B27" s="257" t="s">
        <v>95</v>
      </c>
      <c r="C27" s="319">
        <v>142.93</v>
      </c>
      <c r="D27" s="259">
        <v>9</v>
      </c>
      <c r="E27" s="259">
        <v>11</v>
      </c>
      <c r="F27" s="259" t="s">
        <v>8</v>
      </c>
      <c r="G27" s="259" t="s">
        <v>9</v>
      </c>
      <c r="H27" s="258">
        <f t="shared" si="0"/>
        <v>1.28637</v>
      </c>
      <c r="I27" s="258">
        <f t="shared" si="1"/>
        <v>1.57223</v>
      </c>
      <c r="J27" s="255"/>
    </row>
    <row r="28" spans="1:10" ht="17.25" customHeight="1" x14ac:dyDescent="0.25">
      <c r="A28" s="318" t="s">
        <v>101</v>
      </c>
      <c r="B28" s="257" t="s">
        <v>95</v>
      </c>
      <c r="C28" s="319">
        <v>271.86</v>
      </c>
      <c r="D28" s="259">
        <v>7</v>
      </c>
      <c r="E28" s="259">
        <v>20</v>
      </c>
      <c r="F28" s="259" t="s">
        <v>23</v>
      </c>
      <c r="G28" s="259" t="s">
        <v>16</v>
      </c>
      <c r="H28" s="258">
        <f t="shared" si="0"/>
        <v>1.9030199999999999</v>
      </c>
      <c r="I28" s="258">
        <f t="shared" si="1"/>
        <v>5.4372000000000007</v>
      </c>
      <c r="J28" s="255"/>
    </row>
    <row r="29" spans="1:10" ht="17.25" customHeight="1" x14ac:dyDescent="0.25">
      <c r="A29" s="318" t="s">
        <v>52</v>
      </c>
      <c r="B29" s="257" t="s">
        <v>95</v>
      </c>
      <c r="C29" s="319">
        <v>753.79</v>
      </c>
      <c r="D29" s="259">
        <v>0.5</v>
      </c>
      <c r="E29" s="259">
        <v>0.6</v>
      </c>
      <c r="F29" s="259" t="s">
        <v>53</v>
      </c>
      <c r="G29" s="259" t="s">
        <v>54</v>
      </c>
      <c r="H29" s="258">
        <f t="shared" si="0"/>
        <v>0.37689499999999998</v>
      </c>
      <c r="I29" s="258">
        <f t="shared" si="1"/>
        <v>0.45227399999999995</v>
      </c>
      <c r="J29" s="255"/>
    </row>
    <row r="30" spans="1:10" ht="17.25" customHeight="1" x14ac:dyDescent="0.25">
      <c r="A30" s="318" t="s">
        <v>55</v>
      </c>
      <c r="B30" s="257" t="s">
        <v>95</v>
      </c>
      <c r="C30" s="319">
        <f>79.79*10</f>
        <v>797.90000000000009</v>
      </c>
      <c r="D30" s="259">
        <v>0.5</v>
      </c>
      <c r="E30" s="259">
        <v>0.6</v>
      </c>
      <c r="F30" s="259" t="s">
        <v>53</v>
      </c>
      <c r="G30" s="259" t="s">
        <v>54</v>
      </c>
      <c r="H30" s="258">
        <f t="shared" si="0"/>
        <v>0.39895000000000003</v>
      </c>
      <c r="I30" s="258">
        <f t="shared" si="1"/>
        <v>0.47874</v>
      </c>
      <c r="J30" s="261"/>
    </row>
    <row r="31" spans="1:10" ht="17.25" customHeight="1" x14ac:dyDescent="0.25">
      <c r="A31" s="318" t="s">
        <v>102</v>
      </c>
      <c r="B31" s="257" t="s">
        <v>95</v>
      </c>
      <c r="C31" s="319">
        <f>(38.5*100/85)*10</f>
        <v>452.94117647058829</v>
      </c>
      <c r="D31" s="259">
        <v>1</v>
      </c>
      <c r="E31" s="259">
        <v>1.2</v>
      </c>
      <c r="F31" s="259" t="s">
        <v>56</v>
      </c>
      <c r="G31" s="259" t="s">
        <v>57</v>
      </c>
      <c r="H31" s="258">
        <f t="shared" si="0"/>
        <v>0.45294117647058829</v>
      </c>
      <c r="I31" s="258">
        <f t="shared" si="1"/>
        <v>0.54352941176470593</v>
      </c>
      <c r="J31" s="261"/>
    </row>
    <row r="32" spans="1:10" ht="17.25" customHeight="1" x14ac:dyDescent="0.25">
      <c r="A32" s="318" t="s">
        <v>58</v>
      </c>
      <c r="B32" s="257" t="s">
        <v>95</v>
      </c>
      <c r="C32" s="319">
        <v>88.97</v>
      </c>
      <c r="D32" s="259">
        <v>37</v>
      </c>
      <c r="E32" s="259">
        <v>47</v>
      </c>
      <c r="F32" s="259" t="s">
        <v>20</v>
      </c>
      <c r="G32" s="259" t="s">
        <v>59</v>
      </c>
      <c r="H32" s="258">
        <f t="shared" si="0"/>
        <v>3.29189</v>
      </c>
      <c r="I32" s="258">
        <f t="shared" si="1"/>
        <v>4.1815899999999999</v>
      </c>
      <c r="J32" s="255"/>
    </row>
    <row r="33" spans="1:10" ht="17.25" customHeight="1" x14ac:dyDescent="0.25">
      <c r="A33" s="318" t="s">
        <v>60</v>
      </c>
      <c r="B33" s="257" t="s">
        <v>95</v>
      </c>
      <c r="C33" s="319">
        <f>27.9*10</f>
        <v>279</v>
      </c>
      <c r="D33" s="259">
        <v>0.4</v>
      </c>
      <c r="E33" s="259">
        <v>0.5</v>
      </c>
      <c r="F33" s="259" t="s">
        <v>61</v>
      </c>
      <c r="G33" s="259" t="s">
        <v>53</v>
      </c>
      <c r="H33" s="258">
        <f t="shared" si="0"/>
        <v>0.1116</v>
      </c>
      <c r="I33" s="258">
        <f t="shared" si="1"/>
        <v>0.13950000000000001</v>
      </c>
      <c r="J33" s="261"/>
    </row>
    <row r="34" spans="1:10" ht="17.25" customHeight="1" x14ac:dyDescent="0.25">
      <c r="A34" s="318" t="s">
        <v>62</v>
      </c>
      <c r="B34" s="257" t="s">
        <v>95</v>
      </c>
      <c r="C34" s="319">
        <f>(59.9*1000/180)</f>
        <v>332.77777777777777</v>
      </c>
      <c r="D34" s="259">
        <v>2</v>
      </c>
      <c r="E34" s="259">
        <v>3</v>
      </c>
      <c r="F34" s="259" t="s">
        <v>63</v>
      </c>
      <c r="G34" s="259" t="s">
        <v>64</v>
      </c>
      <c r="H34" s="258">
        <f t="shared" si="0"/>
        <v>0.66555555555555557</v>
      </c>
      <c r="I34" s="258">
        <f t="shared" si="1"/>
        <v>0.99833333333333329</v>
      </c>
      <c r="J34" s="255"/>
    </row>
    <row r="35" spans="1:10" ht="17.25" customHeight="1" thickBot="1" x14ac:dyDescent="0.3">
      <c r="A35" s="318" t="s">
        <v>65</v>
      </c>
      <c r="B35" s="257" t="s">
        <v>95</v>
      </c>
      <c r="C35" s="319">
        <v>23.33</v>
      </c>
      <c r="D35" s="259">
        <v>4</v>
      </c>
      <c r="E35" s="263">
        <v>6</v>
      </c>
      <c r="F35" s="259" t="s">
        <v>11</v>
      </c>
      <c r="G35" s="259" t="s">
        <v>12</v>
      </c>
      <c r="H35" s="258">
        <f t="shared" si="0"/>
        <v>9.3319999999999986E-2</v>
      </c>
      <c r="I35" s="258">
        <f t="shared" si="1"/>
        <v>0.13997999999999999</v>
      </c>
      <c r="J35" s="255"/>
    </row>
    <row r="36" spans="1:10" ht="15.75" x14ac:dyDescent="0.25">
      <c r="A36" s="255"/>
      <c r="B36" s="255"/>
      <c r="C36" s="255"/>
      <c r="D36" s="255"/>
      <c r="E36" s="255"/>
      <c r="F36" s="255"/>
      <c r="G36" s="255"/>
      <c r="H36" s="264">
        <f>SUM(H6:H35)</f>
        <v>188.93118339869281</v>
      </c>
      <c r="I36" s="264">
        <f>SUM(I6:I35)</f>
        <v>238.05310074509799</v>
      </c>
      <c r="J36" s="255"/>
    </row>
  </sheetData>
  <mergeCells count="7">
    <mergeCell ref="A3:A5"/>
    <mergeCell ref="B3:C4"/>
    <mergeCell ref="I3:I4"/>
    <mergeCell ref="H3:H4"/>
    <mergeCell ref="D2:E2"/>
    <mergeCell ref="F2:G2"/>
    <mergeCell ref="D3:E4"/>
  </mergeCells>
  <pageMargins left="0.51181102362204722" right="0.5118110236220472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5"/>
  <sheetViews>
    <sheetView view="pageBreakPreview" topLeftCell="A62" zoomScale="75" zoomScaleNormal="80" zoomScaleSheetLayoutView="75" workbookViewId="0">
      <selection activeCell="Q87" sqref="Q87"/>
    </sheetView>
  </sheetViews>
  <sheetFormatPr defaultColWidth="9.140625" defaultRowHeight="12.75" x14ac:dyDescent="0.2"/>
  <cols>
    <col min="1" max="1" width="9.140625" style="1"/>
    <col min="2" max="2" width="25.85546875" style="1" customWidth="1"/>
    <col min="3" max="3" width="11.85546875" style="1" customWidth="1"/>
    <col min="4" max="6" width="9.140625" style="1" customWidth="1"/>
    <col min="7" max="7" width="10.140625" style="1" customWidth="1"/>
    <col min="8" max="15" width="9.140625" style="1" customWidth="1"/>
    <col min="16" max="16" width="17.85546875" style="1" customWidth="1"/>
    <col min="17" max="17" width="10.140625" style="1" customWidth="1"/>
    <col min="18" max="19" width="9.140625" style="1"/>
    <col min="20" max="21" width="0" style="1" hidden="1" customWidth="1"/>
    <col min="22" max="16384" width="9.140625" style="1"/>
  </cols>
  <sheetData>
    <row r="1" spans="1:21" ht="18.75" x14ac:dyDescent="0.3">
      <c r="A1" s="443" t="s">
        <v>285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</row>
    <row r="2" spans="1:21" ht="26.25" customHeight="1" x14ac:dyDescent="0.35">
      <c r="A2" s="2"/>
      <c r="B2" s="444" t="s">
        <v>104</v>
      </c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2"/>
      <c r="Q2" s="2"/>
      <c r="R2" s="2"/>
      <c r="S2" s="2"/>
    </row>
    <row r="3" spans="1:21" ht="20.25" x14ac:dyDescent="0.35">
      <c r="A3" s="2"/>
      <c r="B3" s="445" t="s">
        <v>243</v>
      </c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2"/>
      <c r="Q3" s="2"/>
      <c r="R3" s="2"/>
      <c r="S3" s="2"/>
    </row>
    <row r="4" spans="1:21" ht="20.25" x14ac:dyDescent="0.35">
      <c r="A4" s="2"/>
      <c r="B4" s="444" t="s">
        <v>105</v>
      </c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2"/>
      <c r="Q4" s="2"/>
      <c r="R4" s="2"/>
      <c r="S4" s="2"/>
    </row>
    <row r="5" spans="1:21" ht="18.75" x14ac:dyDescent="0.3">
      <c r="A5" s="2"/>
      <c r="B5" s="444" t="s">
        <v>106</v>
      </c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2"/>
      <c r="Q5" s="2"/>
      <c r="R5" s="2"/>
      <c r="S5" s="2"/>
    </row>
    <row r="6" spans="1:21" ht="41.25" customHeight="1" x14ac:dyDescent="0.3">
      <c r="A6" s="2"/>
      <c r="B6" s="446" t="s">
        <v>107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  <c r="O6" s="446"/>
      <c r="P6" s="446"/>
      <c r="Q6" s="446"/>
      <c r="R6" s="446"/>
      <c r="S6" s="446"/>
      <c r="T6" s="446"/>
      <c r="U6" s="446"/>
    </row>
    <row r="7" spans="1:21" ht="21" customHeight="1" x14ac:dyDescent="0.3">
      <c r="A7" s="2"/>
      <c r="B7" s="446" t="s">
        <v>242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6"/>
      <c r="O7" s="446"/>
      <c r="P7" s="446"/>
      <c r="Q7" s="446"/>
      <c r="R7" s="446"/>
      <c r="S7" s="446"/>
      <c r="T7" s="446"/>
      <c r="U7" s="446"/>
    </row>
    <row r="9" spans="1:21" ht="18" customHeight="1" x14ac:dyDescent="0.25">
      <c r="A9" s="392" t="s">
        <v>108</v>
      </c>
      <c r="B9" s="392"/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392"/>
      <c r="N9" s="392"/>
      <c r="O9" s="392"/>
      <c r="P9" s="392"/>
      <c r="Q9" s="392"/>
      <c r="R9" s="392"/>
      <c r="S9" s="392"/>
    </row>
    <row r="10" spans="1:21" ht="13.5" thickBot="1" x14ac:dyDescent="0.25"/>
    <row r="11" spans="1:21" ht="54.75" customHeight="1" x14ac:dyDescent="0.2">
      <c r="A11" s="437" t="s">
        <v>109</v>
      </c>
      <c r="B11" s="440" t="s">
        <v>110</v>
      </c>
      <c r="C11" s="440" t="s">
        <v>111</v>
      </c>
      <c r="D11" s="440"/>
      <c r="E11" s="440"/>
      <c r="F11" s="440"/>
      <c r="G11" s="440"/>
      <c r="H11" s="440"/>
      <c r="I11" s="440"/>
      <c r="J11" s="440"/>
      <c r="K11" s="440"/>
      <c r="L11" s="442" t="s">
        <v>112</v>
      </c>
      <c r="M11" s="442"/>
      <c r="N11" s="442"/>
      <c r="O11" s="442"/>
      <c r="P11" s="442"/>
      <c r="Q11" s="442"/>
      <c r="R11" s="442" t="s">
        <v>113</v>
      </c>
      <c r="S11" s="442"/>
      <c r="T11" s="442" t="s">
        <v>114</v>
      </c>
      <c r="U11" s="389"/>
    </row>
    <row r="12" spans="1:21" ht="12.75" customHeight="1" x14ac:dyDescent="0.2">
      <c r="A12" s="438"/>
      <c r="B12" s="417"/>
      <c r="C12" s="386" t="s">
        <v>115</v>
      </c>
      <c r="D12" s="417" t="s">
        <v>116</v>
      </c>
      <c r="E12" s="417"/>
      <c r="F12" s="417"/>
      <c r="G12" s="418" t="s">
        <v>117</v>
      </c>
      <c r="H12" s="417" t="s">
        <v>118</v>
      </c>
      <c r="I12" s="417"/>
      <c r="J12" s="417"/>
      <c r="K12" s="418" t="s">
        <v>119</v>
      </c>
      <c r="L12" s="386" t="s">
        <v>120</v>
      </c>
      <c r="M12" s="386" t="s">
        <v>121</v>
      </c>
      <c r="N12" s="386" t="s">
        <v>122</v>
      </c>
      <c r="O12" s="386" t="s">
        <v>123</v>
      </c>
      <c r="P12" s="407" t="s">
        <v>124</v>
      </c>
      <c r="Q12" s="418" t="s">
        <v>125</v>
      </c>
      <c r="R12" s="386"/>
      <c r="S12" s="386"/>
      <c r="T12" s="386"/>
      <c r="U12" s="391"/>
    </row>
    <row r="13" spans="1:21" x14ac:dyDescent="0.2">
      <c r="A13" s="438"/>
      <c r="B13" s="417"/>
      <c r="C13" s="386"/>
      <c r="D13" s="412" t="s">
        <v>126</v>
      </c>
      <c r="E13" s="412" t="s">
        <v>127</v>
      </c>
      <c r="F13" s="412" t="s">
        <v>128</v>
      </c>
      <c r="G13" s="418"/>
      <c r="H13" s="412" t="s">
        <v>126</v>
      </c>
      <c r="I13" s="412" t="s">
        <v>127</v>
      </c>
      <c r="J13" s="412" t="s">
        <v>128</v>
      </c>
      <c r="K13" s="418"/>
      <c r="L13" s="386"/>
      <c r="M13" s="386"/>
      <c r="N13" s="386"/>
      <c r="O13" s="386"/>
      <c r="P13" s="407"/>
      <c r="Q13" s="418"/>
      <c r="R13" s="386"/>
      <c r="S13" s="386"/>
      <c r="T13" s="386"/>
      <c r="U13" s="391"/>
    </row>
    <row r="14" spans="1:21" ht="99.75" customHeight="1" thickBot="1" x14ac:dyDescent="0.25">
      <c r="A14" s="439"/>
      <c r="B14" s="441"/>
      <c r="C14" s="424"/>
      <c r="D14" s="436"/>
      <c r="E14" s="436"/>
      <c r="F14" s="436"/>
      <c r="G14" s="435"/>
      <c r="H14" s="436"/>
      <c r="I14" s="436"/>
      <c r="J14" s="436"/>
      <c r="K14" s="435"/>
      <c r="L14" s="424"/>
      <c r="M14" s="424"/>
      <c r="N14" s="424"/>
      <c r="O14" s="424"/>
      <c r="P14" s="425"/>
      <c r="Q14" s="435"/>
      <c r="R14" s="142" t="s">
        <v>116</v>
      </c>
      <c r="S14" s="142" t="s">
        <v>129</v>
      </c>
      <c r="T14" s="143" t="s">
        <v>116</v>
      </c>
      <c r="U14" s="23" t="s">
        <v>129</v>
      </c>
    </row>
    <row r="15" spans="1:21" ht="13.5" thickBot="1" x14ac:dyDescent="0.25">
      <c r="A15" s="181">
        <v>1</v>
      </c>
      <c r="B15" s="184" t="s">
        <v>72</v>
      </c>
      <c r="C15" s="279">
        <f>'от продуктов'!$I$36</f>
        <v>238.05310074509799</v>
      </c>
      <c r="D15" s="175">
        <v>0.8</v>
      </c>
      <c r="E15" s="41">
        <v>0.8</v>
      </c>
      <c r="F15" s="41">
        <v>0.8</v>
      </c>
      <c r="G15" s="283">
        <f>C15*D15*E15*F15</f>
        <v>121.88318758149019</v>
      </c>
      <c r="H15" s="41">
        <v>1</v>
      </c>
      <c r="I15" s="41">
        <v>0.8</v>
      </c>
      <c r="J15" s="41">
        <v>0.8</v>
      </c>
      <c r="K15" s="284">
        <f>C15*H15*I15*J15</f>
        <v>152.35398447686273</v>
      </c>
      <c r="L15" s="201">
        <f>'присмотр МДОО'!$J$21</f>
        <v>5.5782920310981545</v>
      </c>
      <c r="M15" s="175">
        <v>1</v>
      </c>
      <c r="N15" s="210">
        <f>'присмотр МДОО'!$J$70</f>
        <v>1.7443283662671418</v>
      </c>
      <c r="O15" s="221">
        <f>'присмотр МДОО'!$H$57</f>
        <v>7.7049183673469406</v>
      </c>
      <c r="P15" s="212">
        <f>'присмотр МДОО'!$C$78</f>
        <v>6.925204038440774</v>
      </c>
      <c r="Q15" s="282">
        <f>L15+M15+N15+O15+P15</f>
        <v>22.952742803153011</v>
      </c>
      <c r="R15" s="283">
        <f>G15+Q15</f>
        <v>144.83593038464321</v>
      </c>
      <c r="S15" s="283">
        <f>K15+Q15</f>
        <v>175.30672728001574</v>
      </c>
      <c r="T15" s="144">
        <f>R15*1.057</f>
        <v>153.09157841656787</v>
      </c>
      <c r="U15" s="47">
        <f>S15*1.057</f>
        <v>185.29921073497661</v>
      </c>
    </row>
    <row r="16" spans="1:21" ht="13.5" thickBot="1" x14ac:dyDescent="0.25">
      <c r="A16" s="182">
        <v>2</v>
      </c>
      <c r="B16" s="185" t="s">
        <v>73</v>
      </c>
      <c r="C16" s="279">
        <f>'от продуктов'!$I$36</f>
        <v>238.05310074509799</v>
      </c>
      <c r="D16" s="176">
        <v>0.8</v>
      </c>
      <c r="E16" s="14">
        <v>0.8</v>
      </c>
      <c r="F16" s="14">
        <v>0.8</v>
      </c>
      <c r="G16" s="285">
        <f>C16*D16*E16*F16</f>
        <v>121.88318758149019</v>
      </c>
      <c r="H16" s="14">
        <v>1</v>
      </c>
      <c r="I16" s="14">
        <v>0.8</v>
      </c>
      <c r="J16" s="14">
        <v>0.8</v>
      </c>
      <c r="K16" s="289">
        <f t="shared" ref="K16:K20" si="0">C16*H16*I16*J16</f>
        <v>152.35398447686273</v>
      </c>
      <c r="L16" s="201">
        <f>'присмотр МДОО'!$J$21</f>
        <v>5.5782920310981545</v>
      </c>
      <c r="M16" s="175">
        <v>1</v>
      </c>
      <c r="N16" s="210">
        <f>'присмотр МДОО'!$J$70</f>
        <v>1.7443283662671418</v>
      </c>
      <c r="O16" s="221">
        <f>'присмотр МДОО'!$H$57</f>
        <v>7.7049183673469406</v>
      </c>
      <c r="P16" s="212">
        <f>'присмотр МДОО'!$C$78</f>
        <v>6.925204038440774</v>
      </c>
      <c r="Q16" s="287">
        <f t="shared" ref="Q16:Q20" si="1">L16+M16+N16+O16+P16</f>
        <v>22.952742803153011</v>
      </c>
      <c r="R16" s="285">
        <f t="shared" ref="R16:R20" si="2">G16+Q16</f>
        <v>144.83593038464321</v>
      </c>
      <c r="S16" s="285">
        <f t="shared" ref="S16:S20" si="3">K16+Q16</f>
        <v>175.30672728001574</v>
      </c>
      <c r="T16" s="136">
        <f t="shared" ref="T16:U20" si="4">R16*1.057</f>
        <v>153.09157841656787</v>
      </c>
      <c r="U16" s="16">
        <f t="shared" si="4"/>
        <v>185.29921073497661</v>
      </c>
    </row>
    <row r="17" spans="1:21" ht="13.5" thickBot="1" x14ac:dyDescent="0.25">
      <c r="A17" s="182">
        <v>3</v>
      </c>
      <c r="B17" s="185" t="s">
        <v>80</v>
      </c>
      <c r="C17" s="279">
        <f>'от продуктов'!$I$36</f>
        <v>238.05310074509799</v>
      </c>
      <c r="D17" s="176">
        <v>0.8</v>
      </c>
      <c r="E17" s="14">
        <v>0.8</v>
      </c>
      <c r="F17" s="14">
        <v>0.8</v>
      </c>
      <c r="G17" s="285">
        <f t="shared" ref="G17:G20" si="5">C17*D17*E17*F17</f>
        <v>121.88318758149019</v>
      </c>
      <c r="H17" s="14">
        <v>1</v>
      </c>
      <c r="I17" s="14">
        <v>0.8</v>
      </c>
      <c r="J17" s="14">
        <v>0.8</v>
      </c>
      <c r="K17" s="289">
        <f t="shared" si="0"/>
        <v>152.35398447686273</v>
      </c>
      <c r="L17" s="201">
        <f>'присмотр МДОО'!$J$21</f>
        <v>5.5782920310981545</v>
      </c>
      <c r="M17" s="175">
        <v>1</v>
      </c>
      <c r="N17" s="210">
        <f>'присмотр МДОО'!$J$70</f>
        <v>1.7443283662671418</v>
      </c>
      <c r="O17" s="221">
        <f>'присмотр МДОО'!$H$57</f>
        <v>7.7049183673469406</v>
      </c>
      <c r="P17" s="212">
        <f>'присмотр МДОО'!$C$78</f>
        <v>6.925204038440774</v>
      </c>
      <c r="Q17" s="287">
        <f>L17+M17+N17+O17+P17</f>
        <v>22.952742803153011</v>
      </c>
      <c r="R17" s="285">
        <f t="shared" si="2"/>
        <v>144.83593038464321</v>
      </c>
      <c r="S17" s="285">
        <f t="shared" si="3"/>
        <v>175.30672728001574</v>
      </c>
      <c r="T17" s="136">
        <f t="shared" si="4"/>
        <v>153.09157841656787</v>
      </c>
      <c r="U17" s="16">
        <f t="shared" si="4"/>
        <v>185.29921073497661</v>
      </c>
    </row>
    <row r="18" spans="1:21" ht="13.5" thickBot="1" x14ac:dyDescent="0.25">
      <c r="A18" s="182">
        <v>4</v>
      </c>
      <c r="B18" s="185" t="s">
        <v>81</v>
      </c>
      <c r="C18" s="279">
        <f>'от продуктов'!$I$36</f>
        <v>238.05310074509799</v>
      </c>
      <c r="D18" s="176">
        <v>0.8</v>
      </c>
      <c r="E18" s="14">
        <v>0.8</v>
      </c>
      <c r="F18" s="14">
        <v>0.8</v>
      </c>
      <c r="G18" s="285">
        <f t="shared" si="5"/>
        <v>121.88318758149019</v>
      </c>
      <c r="H18" s="14">
        <v>1</v>
      </c>
      <c r="I18" s="14">
        <v>0.8</v>
      </c>
      <c r="J18" s="14">
        <v>0.8</v>
      </c>
      <c r="K18" s="289">
        <f t="shared" si="0"/>
        <v>152.35398447686273</v>
      </c>
      <c r="L18" s="201">
        <f>'присмотр МДОО'!$J$21</f>
        <v>5.5782920310981545</v>
      </c>
      <c r="M18" s="175">
        <v>1</v>
      </c>
      <c r="N18" s="210">
        <f>'присмотр МДОО'!$J$70</f>
        <v>1.7443283662671418</v>
      </c>
      <c r="O18" s="221">
        <f>'присмотр МДОО'!$H$57</f>
        <v>7.7049183673469406</v>
      </c>
      <c r="P18" s="212">
        <f>'присмотр МДОО'!$C$78</f>
        <v>6.925204038440774</v>
      </c>
      <c r="Q18" s="287">
        <f t="shared" si="1"/>
        <v>22.952742803153011</v>
      </c>
      <c r="R18" s="285">
        <f t="shared" si="2"/>
        <v>144.83593038464321</v>
      </c>
      <c r="S18" s="285">
        <f t="shared" si="3"/>
        <v>175.30672728001574</v>
      </c>
      <c r="T18" s="136">
        <f t="shared" si="4"/>
        <v>153.09157841656787</v>
      </c>
      <c r="U18" s="16">
        <f t="shared" si="4"/>
        <v>185.29921073497661</v>
      </c>
    </row>
    <row r="19" spans="1:21" ht="13.5" thickBot="1" x14ac:dyDescent="0.25">
      <c r="A19" s="183">
        <v>5</v>
      </c>
      <c r="B19" s="321" t="s">
        <v>79</v>
      </c>
      <c r="C19" s="279">
        <f>'от продуктов'!$I$36</f>
        <v>238.05310074509799</v>
      </c>
      <c r="D19" s="177">
        <v>0.8</v>
      </c>
      <c r="E19" s="17">
        <v>0.8</v>
      </c>
      <c r="F19" s="17">
        <v>0.8</v>
      </c>
      <c r="G19" s="286">
        <f t="shared" ref="G19" si="6">C19*D19*E19*F19</f>
        <v>121.88318758149019</v>
      </c>
      <c r="H19" s="17">
        <v>1</v>
      </c>
      <c r="I19" s="17">
        <v>0.8</v>
      </c>
      <c r="J19" s="17">
        <v>0.8</v>
      </c>
      <c r="K19" s="290">
        <f t="shared" ref="K19" si="7">C19*H19*I19*J19</f>
        <v>152.35398447686273</v>
      </c>
      <c r="L19" s="201">
        <f>'присмотр МДОО'!$J$21</f>
        <v>5.5782920310981545</v>
      </c>
      <c r="M19" s="175">
        <v>1</v>
      </c>
      <c r="N19" s="210">
        <f>'присмотр МДОО'!$J$70</f>
        <v>1.7443283662671418</v>
      </c>
      <c r="O19" s="221">
        <f>'присмотр МДОО'!$H$57</f>
        <v>7.7049183673469406</v>
      </c>
      <c r="P19" s="212">
        <f>'присмотр МДОО'!$C$78</f>
        <v>6.925204038440774</v>
      </c>
      <c r="Q19" s="288">
        <f t="shared" ref="Q19" si="8">L19+M19+N19+O19+P19</f>
        <v>22.952742803153011</v>
      </c>
      <c r="R19" s="286">
        <f t="shared" ref="R19" si="9">G19+Q19</f>
        <v>144.83593038464321</v>
      </c>
      <c r="S19" s="286">
        <f t="shared" ref="S19" si="10">K19+Q19</f>
        <v>175.30672728001574</v>
      </c>
      <c r="T19" s="265"/>
      <c r="U19" s="266"/>
    </row>
    <row r="20" spans="1:21" ht="13.5" thickBot="1" x14ac:dyDescent="0.25">
      <c r="A20" s="183">
        <v>6</v>
      </c>
      <c r="B20" s="186" t="s">
        <v>238</v>
      </c>
      <c r="C20" s="279">
        <f>'от продуктов'!$I$36</f>
        <v>238.05310074509799</v>
      </c>
      <c r="D20" s="177">
        <v>0.8</v>
      </c>
      <c r="E20" s="17">
        <v>0.8</v>
      </c>
      <c r="F20" s="17">
        <v>0.8</v>
      </c>
      <c r="G20" s="286">
        <f t="shared" si="5"/>
        <v>121.88318758149019</v>
      </c>
      <c r="H20" s="17">
        <v>1</v>
      </c>
      <c r="I20" s="17">
        <v>0.8</v>
      </c>
      <c r="J20" s="17">
        <v>0.8</v>
      </c>
      <c r="K20" s="290">
        <f t="shared" si="0"/>
        <v>152.35398447686273</v>
      </c>
      <c r="L20" s="201">
        <f>'присмотр МДОО'!$J$21</f>
        <v>5.5782920310981545</v>
      </c>
      <c r="M20" s="175">
        <v>1</v>
      </c>
      <c r="N20" s="210">
        <f>'присмотр МДОО'!$J$70</f>
        <v>1.7443283662671418</v>
      </c>
      <c r="O20" s="221">
        <f>'присмотр МДОО'!$H$57</f>
        <v>7.7049183673469406</v>
      </c>
      <c r="P20" s="212">
        <f>'присмотр МДОО'!$C$78</f>
        <v>6.925204038440774</v>
      </c>
      <c r="Q20" s="288">
        <f t="shared" si="1"/>
        <v>22.952742803153011</v>
      </c>
      <c r="R20" s="286">
        <f t="shared" si="2"/>
        <v>144.83593038464321</v>
      </c>
      <c r="S20" s="286">
        <f t="shared" si="3"/>
        <v>175.30672728001574</v>
      </c>
      <c r="T20" s="141">
        <f t="shared" si="4"/>
        <v>153.09157841656787</v>
      </c>
      <c r="U20" s="20">
        <f t="shared" si="4"/>
        <v>185.29921073497661</v>
      </c>
    </row>
    <row r="23" spans="1:21" ht="15" customHeight="1" x14ac:dyDescent="0.25">
      <c r="A23" s="392" t="s">
        <v>130</v>
      </c>
      <c r="B23" s="392"/>
      <c r="C23" s="392"/>
      <c r="D23" s="392"/>
      <c r="E23" s="392"/>
      <c r="F23" s="392"/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2"/>
      <c r="R23" s="392"/>
      <c r="S23" s="392"/>
    </row>
    <row r="24" spans="1:21" ht="13.5" thickBot="1" x14ac:dyDescent="0.25"/>
    <row r="25" spans="1:21" ht="61.5" customHeight="1" x14ac:dyDescent="0.2">
      <c r="A25" s="437" t="s">
        <v>109</v>
      </c>
      <c r="B25" s="440" t="s">
        <v>110</v>
      </c>
      <c r="C25" s="440" t="s">
        <v>111</v>
      </c>
      <c r="D25" s="440"/>
      <c r="E25" s="440"/>
      <c r="F25" s="440"/>
      <c r="G25" s="440"/>
      <c r="H25" s="440"/>
      <c r="I25" s="440"/>
      <c r="J25" s="440"/>
      <c r="K25" s="440"/>
      <c r="L25" s="442" t="s">
        <v>112</v>
      </c>
      <c r="M25" s="442"/>
      <c r="N25" s="442"/>
      <c r="O25" s="442"/>
      <c r="P25" s="442"/>
      <c r="Q25" s="442"/>
      <c r="R25" s="442" t="s">
        <v>113</v>
      </c>
      <c r="S25" s="389"/>
      <c r="T25" s="404" t="s">
        <v>114</v>
      </c>
      <c r="U25" s="389"/>
    </row>
    <row r="26" spans="1:21" ht="63.75" customHeight="1" x14ac:dyDescent="0.2">
      <c r="A26" s="438"/>
      <c r="B26" s="417"/>
      <c r="C26" s="386" t="s">
        <v>115</v>
      </c>
      <c r="D26" s="417" t="s">
        <v>116</v>
      </c>
      <c r="E26" s="417"/>
      <c r="F26" s="417"/>
      <c r="G26" s="418" t="s">
        <v>117</v>
      </c>
      <c r="H26" s="417" t="s">
        <v>118</v>
      </c>
      <c r="I26" s="417"/>
      <c r="J26" s="417"/>
      <c r="K26" s="418" t="s">
        <v>119</v>
      </c>
      <c r="L26" s="386" t="s">
        <v>120</v>
      </c>
      <c r="M26" s="386" t="s">
        <v>121</v>
      </c>
      <c r="N26" s="386" t="s">
        <v>122</v>
      </c>
      <c r="O26" s="386" t="s">
        <v>123</v>
      </c>
      <c r="P26" s="407" t="s">
        <v>124</v>
      </c>
      <c r="Q26" s="418" t="s">
        <v>125</v>
      </c>
      <c r="R26" s="386"/>
      <c r="S26" s="391"/>
      <c r="T26" s="405"/>
      <c r="U26" s="391"/>
    </row>
    <row r="27" spans="1:21" x14ac:dyDescent="0.2">
      <c r="A27" s="438"/>
      <c r="B27" s="417"/>
      <c r="C27" s="386"/>
      <c r="D27" s="412" t="s">
        <v>126</v>
      </c>
      <c r="E27" s="412" t="s">
        <v>127</v>
      </c>
      <c r="F27" s="412" t="s">
        <v>128</v>
      </c>
      <c r="G27" s="418"/>
      <c r="H27" s="412" t="s">
        <v>126</v>
      </c>
      <c r="I27" s="412" t="s">
        <v>127</v>
      </c>
      <c r="J27" s="412" t="s">
        <v>128</v>
      </c>
      <c r="K27" s="418"/>
      <c r="L27" s="386"/>
      <c r="M27" s="386"/>
      <c r="N27" s="386"/>
      <c r="O27" s="386"/>
      <c r="P27" s="407"/>
      <c r="Q27" s="418"/>
      <c r="R27" s="386"/>
      <c r="S27" s="391"/>
      <c r="T27" s="405"/>
      <c r="U27" s="391"/>
    </row>
    <row r="28" spans="1:21" ht="42" customHeight="1" thickBot="1" x14ac:dyDescent="0.25">
      <c r="A28" s="439"/>
      <c r="B28" s="441"/>
      <c r="C28" s="424"/>
      <c r="D28" s="436"/>
      <c r="E28" s="436"/>
      <c r="F28" s="436"/>
      <c r="G28" s="435"/>
      <c r="H28" s="436"/>
      <c r="I28" s="436"/>
      <c r="J28" s="436"/>
      <c r="K28" s="435"/>
      <c r="L28" s="424"/>
      <c r="M28" s="424"/>
      <c r="N28" s="424"/>
      <c r="O28" s="424"/>
      <c r="P28" s="425"/>
      <c r="Q28" s="435"/>
      <c r="R28" s="142" t="s">
        <v>116</v>
      </c>
      <c r="S28" s="151" t="s">
        <v>129</v>
      </c>
      <c r="T28" s="145" t="s">
        <v>116</v>
      </c>
      <c r="U28" s="5" t="s">
        <v>129</v>
      </c>
    </row>
    <row r="29" spans="1:21" ht="13.5" thickBot="1" x14ac:dyDescent="0.25">
      <c r="A29" s="152">
        <v>1</v>
      </c>
      <c r="B29" s="178" t="s">
        <v>74</v>
      </c>
      <c r="C29" s="280">
        <f>'от продуктов'!$I$36</f>
        <v>238.05310074509799</v>
      </c>
      <c r="D29" s="175">
        <v>0.8</v>
      </c>
      <c r="E29" s="41">
        <v>0.8</v>
      </c>
      <c r="F29" s="41">
        <v>0.8</v>
      </c>
      <c r="G29" s="283">
        <f>C29*D29*E29*F29</f>
        <v>121.88318758149019</v>
      </c>
      <c r="H29" s="41">
        <v>1</v>
      </c>
      <c r="I29" s="41">
        <v>0.8</v>
      </c>
      <c r="J29" s="41">
        <v>0.8</v>
      </c>
      <c r="K29" s="284">
        <f>C29*H29*I29*J29</f>
        <v>152.35398447686273</v>
      </c>
      <c r="L29" s="201">
        <f>'присмотр МДОО'!$J$21</f>
        <v>5.5782920310981545</v>
      </c>
      <c r="M29" s="221">
        <f>'присмотр МДОО'!$H$51</f>
        <v>4.5559523809523821</v>
      </c>
      <c r="N29" s="210">
        <f>'присмотр МДОО'!$J$70</f>
        <v>1.7443283662671418</v>
      </c>
      <c r="O29" s="41">
        <v>0</v>
      </c>
      <c r="P29" s="212">
        <f>'присмотр МДОО'!$C$78</f>
        <v>6.925204038440774</v>
      </c>
      <c r="Q29" s="282">
        <f>L29+M29+N29+O29+P29</f>
        <v>18.803776816758454</v>
      </c>
      <c r="R29" s="283">
        <f>G29+Q29</f>
        <v>140.68696439824865</v>
      </c>
      <c r="S29" s="291">
        <f>K29+Q29</f>
        <v>171.15776129362118</v>
      </c>
      <c r="T29" s="146">
        <f>R29*1.057</f>
        <v>148.7061213689488</v>
      </c>
      <c r="U29" s="13">
        <f>S29*1.057</f>
        <v>180.91375368735757</v>
      </c>
    </row>
    <row r="30" spans="1:21" ht="13.5" thickBot="1" x14ac:dyDescent="0.25">
      <c r="A30" s="149">
        <v>2</v>
      </c>
      <c r="B30" s="179" t="s">
        <v>77</v>
      </c>
      <c r="C30" s="280">
        <f>'от продуктов'!$I$36</f>
        <v>238.05310074509799</v>
      </c>
      <c r="D30" s="176">
        <v>0.8</v>
      </c>
      <c r="E30" s="14">
        <v>0.8</v>
      </c>
      <c r="F30" s="14">
        <v>0.8</v>
      </c>
      <c r="G30" s="285">
        <f t="shared" ref="G30:G39" si="11">C30*D30*E30*F30</f>
        <v>121.88318758149019</v>
      </c>
      <c r="H30" s="14">
        <v>1</v>
      </c>
      <c r="I30" s="14">
        <v>0.8</v>
      </c>
      <c r="J30" s="14">
        <v>0.8</v>
      </c>
      <c r="K30" s="289">
        <f t="shared" ref="K30:K39" si="12">C30*H30*I30*J30</f>
        <v>152.35398447686273</v>
      </c>
      <c r="L30" s="201">
        <f>'присмотр МДОО'!$J$21</f>
        <v>5.5782920310981545</v>
      </c>
      <c r="M30" s="221">
        <f>'присмотр МДОО'!$H$51</f>
        <v>4.5559523809523821</v>
      </c>
      <c r="N30" s="210">
        <f>'присмотр МДОО'!$J$70</f>
        <v>1.7443283662671418</v>
      </c>
      <c r="O30" s="14">
        <v>0</v>
      </c>
      <c r="P30" s="212">
        <f>'присмотр МДОО'!$C$78</f>
        <v>6.925204038440774</v>
      </c>
      <c r="Q30" s="287">
        <f t="shared" ref="Q30:Q39" si="13">L30+M30+N30+O30+P30</f>
        <v>18.803776816758454</v>
      </c>
      <c r="R30" s="285">
        <f t="shared" ref="R30:R39" si="14">G30+Q30</f>
        <v>140.68696439824865</v>
      </c>
      <c r="S30" s="292">
        <f t="shared" ref="S30:S39" si="15">K30+Q30</f>
        <v>171.15776129362118</v>
      </c>
      <c r="T30" s="147">
        <f t="shared" ref="T30:U39" si="16">R30*1.057</f>
        <v>148.7061213689488</v>
      </c>
      <c r="U30" s="16">
        <f t="shared" si="16"/>
        <v>180.91375368735757</v>
      </c>
    </row>
    <row r="31" spans="1:21" ht="13.5" thickBot="1" x14ac:dyDescent="0.25">
      <c r="A31" s="149">
        <v>3</v>
      </c>
      <c r="B31" s="179" t="s">
        <v>78</v>
      </c>
      <c r="C31" s="280">
        <f>'от продуктов'!$I$36</f>
        <v>238.05310074509799</v>
      </c>
      <c r="D31" s="176">
        <v>0.8</v>
      </c>
      <c r="E31" s="14">
        <v>0.8</v>
      </c>
      <c r="F31" s="14">
        <v>0.8</v>
      </c>
      <c r="G31" s="285">
        <f t="shared" si="11"/>
        <v>121.88318758149019</v>
      </c>
      <c r="H31" s="14">
        <v>1</v>
      </c>
      <c r="I31" s="14">
        <v>0.8</v>
      </c>
      <c r="J31" s="14">
        <v>0.8</v>
      </c>
      <c r="K31" s="289">
        <f t="shared" si="12"/>
        <v>152.35398447686273</v>
      </c>
      <c r="L31" s="201">
        <f>'присмотр МДОО'!$J$21</f>
        <v>5.5782920310981545</v>
      </c>
      <c r="M31" s="221">
        <f>'присмотр МДОО'!$H$51</f>
        <v>4.5559523809523821</v>
      </c>
      <c r="N31" s="210">
        <f>'присмотр МДОО'!$J$70</f>
        <v>1.7443283662671418</v>
      </c>
      <c r="O31" s="14">
        <v>0</v>
      </c>
      <c r="P31" s="212">
        <f>'присмотр МДОО'!$C$78</f>
        <v>6.925204038440774</v>
      </c>
      <c r="Q31" s="287">
        <f t="shared" si="13"/>
        <v>18.803776816758454</v>
      </c>
      <c r="R31" s="285">
        <f t="shared" si="14"/>
        <v>140.68696439824865</v>
      </c>
      <c r="S31" s="292">
        <f t="shared" si="15"/>
        <v>171.15776129362118</v>
      </c>
      <c r="T31" s="147">
        <f t="shared" si="16"/>
        <v>148.7061213689488</v>
      </c>
      <c r="U31" s="16">
        <f t="shared" si="16"/>
        <v>180.91375368735757</v>
      </c>
    </row>
    <row r="32" spans="1:21" ht="13.5" hidden="1" thickBot="1" x14ac:dyDescent="0.25">
      <c r="A32" s="149"/>
      <c r="B32" s="179"/>
      <c r="C32" s="280"/>
      <c r="D32" s="176"/>
      <c r="E32" s="14"/>
      <c r="F32" s="14"/>
      <c r="G32" s="285"/>
      <c r="H32" s="14"/>
      <c r="I32" s="14"/>
      <c r="J32" s="14"/>
      <c r="K32" s="289"/>
      <c r="L32" s="201"/>
      <c r="M32" s="221"/>
      <c r="N32" s="210"/>
      <c r="O32" s="14"/>
      <c r="P32" s="212"/>
      <c r="Q32" s="287"/>
      <c r="R32" s="285"/>
      <c r="S32" s="292"/>
      <c r="T32" s="147">
        <f t="shared" si="16"/>
        <v>0</v>
      </c>
      <c r="U32" s="16">
        <f t="shared" si="16"/>
        <v>0</v>
      </c>
    </row>
    <row r="33" spans="1:21" ht="13.5" thickBot="1" x14ac:dyDescent="0.25">
      <c r="A33" s="149">
        <v>4</v>
      </c>
      <c r="B33" s="179" t="s">
        <v>237</v>
      </c>
      <c r="C33" s="280">
        <f>'от продуктов'!$I$36</f>
        <v>238.05310074509799</v>
      </c>
      <c r="D33" s="176">
        <v>0.8</v>
      </c>
      <c r="E33" s="14">
        <v>0.8</v>
      </c>
      <c r="F33" s="14">
        <v>0.8</v>
      </c>
      <c r="G33" s="285">
        <f t="shared" si="11"/>
        <v>121.88318758149019</v>
      </c>
      <c r="H33" s="14">
        <v>1</v>
      </c>
      <c r="I33" s="14">
        <v>0.8</v>
      </c>
      <c r="J33" s="14">
        <v>0.8</v>
      </c>
      <c r="K33" s="289">
        <f t="shared" si="12"/>
        <v>152.35398447686273</v>
      </c>
      <c r="L33" s="201">
        <f>'присмотр МДОО'!$J$21</f>
        <v>5.5782920310981545</v>
      </c>
      <c r="M33" s="221">
        <f>'присмотр МДОО'!$H$51</f>
        <v>4.5559523809523821</v>
      </c>
      <c r="N33" s="210">
        <f>'присмотр МДОО'!$J$70</f>
        <v>1.7443283662671418</v>
      </c>
      <c r="O33" s="14">
        <v>0</v>
      </c>
      <c r="P33" s="212">
        <f>'присмотр МДОО'!$C$78</f>
        <v>6.925204038440774</v>
      </c>
      <c r="Q33" s="287">
        <f t="shared" si="13"/>
        <v>18.803776816758454</v>
      </c>
      <c r="R33" s="285">
        <f t="shared" si="14"/>
        <v>140.68696439824865</v>
      </c>
      <c r="S33" s="292">
        <f t="shared" si="15"/>
        <v>171.15776129362118</v>
      </c>
      <c r="T33" s="147">
        <f t="shared" si="16"/>
        <v>148.7061213689488</v>
      </c>
      <c r="U33" s="16">
        <f t="shared" si="16"/>
        <v>180.91375368735757</v>
      </c>
    </row>
    <row r="34" spans="1:21" ht="13.5" thickBot="1" x14ac:dyDescent="0.25">
      <c r="A34" s="149">
        <v>5</v>
      </c>
      <c r="B34" s="179" t="s">
        <v>82</v>
      </c>
      <c r="C34" s="280">
        <f>'от продуктов'!$I$36</f>
        <v>238.05310074509799</v>
      </c>
      <c r="D34" s="176">
        <v>0.8</v>
      </c>
      <c r="E34" s="14">
        <v>0.8</v>
      </c>
      <c r="F34" s="14">
        <v>0.8</v>
      </c>
      <c r="G34" s="285">
        <f t="shared" si="11"/>
        <v>121.88318758149019</v>
      </c>
      <c r="H34" s="14">
        <v>1</v>
      </c>
      <c r="I34" s="14">
        <v>0.8</v>
      </c>
      <c r="J34" s="14">
        <v>0.8</v>
      </c>
      <c r="K34" s="289">
        <f t="shared" si="12"/>
        <v>152.35398447686273</v>
      </c>
      <c r="L34" s="201">
        <f>'присмотр МДОО'!$J$21</f>
        <v>5.5782920310981545</v>
      </c>
      <c r="M34" s="221">
        <f>'присмотр МДОО'!$H$51</f>
        <v>4.5559523809523821</v>
      </c>
      <c r="N34" s="210">
        <f>'присмотр МДОО'!$J$70</f>
        <v>1.7443283662671418</v>
      </c>
      <c r="O34" s="14">
        <v>0</v>
      </c>
      <c r="P34" s="212">
        <f>'присмотр МДОО'!$C$78</f>
        <v>6.925204038440774</v>
      </c>
      <c r="Q34" s="287">
        <f t="shared" si="13"/>
        <v>18.803776816758454</v>
      </c>
      <c r="R34" s="285">
        <f t="shared" si="14"/>
        <v>140.68696439824865</v>
      </c>
      <c r="S34" s="292">
        <f t="shared" si="15"/>
        <v>171.15776129362118</v>
      </c>
      <c r="T34" s="147">
        <f t="shared" si="16"/>
        <v>148.7061213689488</v>
      </c>
      <c r="U34" s="16">
        <f t="shared" si="16"/>
        <v>180.91375368735757</v>
      </c>
    </row>
    <row r="35" spans="1:21" ht="13.5" thickBot="1" x14ac:dyDescent="0.25">
      <c r="A35" s="149">
        <v>6</v>
      </c>
      <c r="B35" s="179" t="s">
        <v>83</v>
      </c>
      <c r="C35" s="280">
        <f>'от продуктов'!$I$36</f>
        <v>238.05310074509799</v>
      </c>
      <c r="D35" s="176">
        <v>0.8</v>
      </c>
      <c r="E35" s="14">
        <v>0.8</v>
      </c>
      <c r="F35" s="14">
        <v>0.8</v>
      </c>
      <c r="G35" s="285">
        <f t="shared" si="11"/>
        <v>121.88318758149019</v>
      </c>
      <c r="H35" s="14">
        <v>1</v>
      </c>
      <c r="I35" s="14">
        <v>0.8</v>
      </c>
      <c r="J35" s="14">
        <v>0.8</v>
      </c>
      <c r="K35" s="289">
        <f t="shared" si="12"/>
        <v>152.35398447686273</v>
      </c>
      <c r="L35" s="201">
        <f>'присмотр МДОО'!$J$21</f>
        <v>5.5782920310981545</v>
      </c>
      <c r="M35" s="221">
        <f>'присмотр МДОО'!$H$51</f>
        <v>4.5559523809523821</v>
      </c>
      <c r="N35" s="210">
        <f>'присмотр МДОО'!$J$70</f>
        <v>1.7443283662671418</v>
      </c>
      <c r="O35" s="14">
        <v>0</v>
      </c>
      <c r="P35" s="212">
        <f>'присмотр МДОО'!$C$78</f>
        <v>6.925204038440774</v>
      </c>
      <c r="Q35" s="287">
        <f t="shared" si="13"/>
        <v>18.803776816758454</v>
      </c>
      <c r="R35" s="285">
        <f t="shared" si="14"/>
        <v>140.68696439824865</v>
      </c>
      <c r="S35" s="292">
        <f t="shared" si="15"/>
        <v>171.15776129362118</v>
      </c>
      <c r="T35" s="147">
        <f t="shared" si="16"/>
        <v>148.7061213689488</v>
      </c>
      <c r="U35" s="16">
        <f t="shared" si="16"/>
        <v>180.91375368735757</v>
      </c>
    </row>
    <row r="36" spans="1:21" ht="13.5" thickBot="1" x14ac:dyDescent="0.25">
      <c r="A36" s="149">
        <v>7</v>
      </c>
      <c r="B36" s="179" t="s">
        <v>84</v>
      </c>
      <c r="C36" s="280">
        <f>'от продуктов'!$I$36</f>
        <v>238.05310074509799</v>
      </c>
      <c r="D36" s="176">
        <v>0.8</v>
      </c>
      <c r="E36" s="14">
        <v>0.8</v>
      </c>
      <c r="F36" s="14">
        <v>0.8</v>
      </c>
      <c r="G36" s="285">
        <f t="shared" si="11"/>
        <v>121.88318758149019</v>
      </c>
      <c r="H36" s="14">
        <v>1</v>
      </c>
      <c r="I36" s="14">
        <v>0.8</v>
      </c>
      <c r="J36" s="14">
        <v>0.8</v>
      </c>
      <c r="K36" s="289">
        <f t="shared" si="12"/>
        <v>152.35398447686273</v>
      </c>
      <c r="L36" s="201">
        <f>'присмотр МДОО'!$J$21</f>
        <v>5.5782920310981545</v>
      </c>
      <c r="M36" s="221">
        <f>'присмотр МДОО'!$H$51</f>
        <v>4.5559523809523821</v>
      </c>
      <c r="N36" s="210">
        <f>'присмотр МДОО'!$J$70</f>
        <v>1.7443283662671418</v>
      </c>
      <c r="O36" s="14">
        <v>0</v>
      </c>
      <c r="P36" s="212">
        <f>'присмотр МДОО'!$C$78</f>
        <v>6.925204038440774</v>
      </c>
      <c r="Q36" s="287">
        <f t="shared" si="13"/>
        <v>18.803776816758454</v>
      </c>
      <c r="R36" s="285">
        <f t="shared" si="14"/>
        <v>140.68696439824865</v>
      </c>
      <c r="S36" s="292">
        <f t="shared" si="15"/>
        <v>171.15776129362118</v>
      </c>
      <c r="T36" s="147">
        <f t="shared" si="16"/>
        <v>148.7061213689488</v>
      </c>
      <c r="U36" s="16">
        <f t="shared" si="16"/>
        <v>180.91375368735757</v>
      </c>
    </row>
    <row r="37" spans="1:21" ht="13.5" thickBot="1" x14ac:dyDescent="0.25">
      <c r="A37" s="149">
        <v>8</v>
      </c>
      <c r="B37" s="179" t="s">
        <v>85</v>
      </c>
      <c r="C37" s="280">
        <f>'от продуктов'!$I$36</f>
        <v>238.05310074509799</v>
      </c>
      <c r="D37" s="176">
        <v>0.8</v>
      </c>
      <c r="E37" s="14">
        <v>0.8</v>
      </c>
      <c r="F37" s="14">
        <v>0.8</v>
      </c>
      <c r="G37" s="285">
        <f t="shared" si="11"/>
        <v>121.88318758149019</v>
      </c>
      <c r="H37" s="14">
        <v>1</v>
      </c>
      <c r="I37" s="14">
        <v>0.8</v>
      </c>
      <c r="J37" s="14">
        <v>0.8</v>
      </c>
      <c r="K37" s="289">
        <f t="shared" si="12"/>
        <v>152.35398447686273</v>
      </c>
      <c r="L37" s="201">
        <f>'присмотр МДОО'!$J$21</f>
        <v>5.5782920310981545</v>
      </c>
      <c r="M37" s="221">
        <f>'присмотр МДОО'!$H$51</f>
        <v>4.5559523809523821</v>
      </c>
      <c r="N37" s="210">
        <f>'присмотр МДОО'!$J$70</f>
        <v>1.7443283662671418</v>
      </c>
      <c r="O37" s="14">
        <v>0</v>
      </c>
      <c r="P37" s="212">
        <f>'присмотр МДОО'!$C$78</f>
        <v>6.925204038440774</v>
      </c>
      <c r="Q37" s="287">
        <f t="shared" si="13"/>
        <v>18.803776816758454</v>
      </c>
      <c r="R37" s="285">
        <f t="shared" si="14"/>
        <v>140.68696439824865</v>
      </c>
      <c r="S37" s="292">
        <f t="shared" si="15"/>
        <v>171.15776129362118</v>
      </c>
      <c r="T37" s="147">
        <f t="shared" si="16"/>
        <v>148.7061213689488</v>
      </c>
      <c r="U37" s="16">
        <f t="shared" si="16"/>
        <v>180.91375368735757</v>
      </c>
    </row>
    <row r="38" spans="1:21" ht="13.5" thickBot="1" x14ac:dyDescent="0.25">
      <c r="A38" s="149">
        <v>9</v>
      </c>
      <c r="B38" s="179" t="s">
        <v>86</v>
      </c>
      <c r="C38" s="280">
        <f>'от продуктов'!$I$36</f>
        <v>238.05310074509799</v>
      </c>
      <c r="D38" s="176">
        <v>0.8</v>
      </c>
      <c r="E38" s="14">
        <v>0.8</v>
      </c>
      <c r="F38" s="14">
        <v>0.8</v>
      </c>
      <c r="G38" s="285">
        <f t="shared" si="11"/>
        <v>121.88318758149019</v>
      </c>
      <c r="H38" s="14">
        <v>1</v>
      </c>
      <c r="I38" s="14">
        <v>0.8</v>
      </c>
      <c r="J38" s="14">
        <v>0.8</v>
      </c>
      <c r="K38" s="289">
        <f t="shared" si="12"/>
        <v>152.35398447686273</v>
      </c>
      <c r="L38" s="201">
        <f>'присмотр МДОО'!$J$21</f>
        <v>5.5782920310981545</v>
      </c>
      <c r="M38" s="221">
        <f>'присмотр МДОО'!$H$51</f>
        <v>4.5559523809523821</v>
      </c>
      <c r="N38" s="210">
        <f>'присмотр МДОО'!$J$70</f>
        <v>1.7443283662671418</v>
      </c>
      <c r="O38" s="14">
        <v>0</v>
      </c>
      <c r="P38" s="212">
        <f>'присмотр МДОО'!$C$78</f>
        <v>6.925204038440774</v>
      </c>
      <c r="Q38" s="287">
        <f t="shared" si="13"/>
        <v>18.803776816758454</v>
      </c>
      <c r="R38" s="285">
        <f t="shared" si="14"/>
        <v>140.68696439824865</v>
      </c>
      <c r="S38" s="292">
        <f t="shared" si="15"/>
        <v>171.15776129362118</v>
      </c>
      <c r="T38" s="147">
        <f t="shared" si="16"/>
        <v>148.7061213689488</v>
      </c>
      <c r="U38" s="16">
        <f t="shared" si="16"/>
        <v>180.91375368735757</v>
      </c>
    </row>
    <row r="39" spans="1:21" ht="13.5" thickBot="1" x14ac:dyDescent="0.25">
      <c r="A39" s="149">
        <v>10</v>
      </c>
      <c r="B39" s="180" t="s">
        <v>87</v>
      </c>
      <c r="C39" s="280">
        <f>'от продуктов'!$I$36</f>
        <v>238.05310074509799</v>
      </c>
      <c r="D39" s="177">
        <v>0.8</v>
      </c>
      <c r="E39" s="17">
        <v>0.8</v>
      </c>
      <c r="F39" s="17">
        <v>0.8</v>
      </c>
      <c r="G39" s="286">
        <f t="shared" si="11"/>
        <v>121.88318758149019</v>
      </c>
      <c r="H39" s="17">
        <v>1</v>
      </c>
      <c r="I39" s="17">
        <v>0.8</v>
      </c>
      <c r="J39" s="17">
        <v>0.8</v>
      </c>
      <c r="K39" s="290">
        <f t="shared" si="12"/>
        <v>152.35398447686273</v>
      </c>
      <c r="L39" s="201">
        <f>'присмотр МДОО'!$J$21</f>
        <v>5.5782920310981545</v>
      </c>
      <c r="M39" s="221">
        <f>'присмотр МДОО'!$H$51</f>
        <v>4.5559523809523821</v>
      </c>
      <c r="N39" s="210">
        <f>'присмотр МДОО'!$J$70</f>
        <v>1.7443283662671418</v>
      </c>
      <c r="O39" s="17">
        <v>0</v>
      </c>
      <c r="P39" s="212">
        <f>'присмотр МДОО'!$C$78</f>
        <v>6.925204038440774</v>
      </c>
      <c r="Q39" s="288">
        <f t="shared" si="13"/>
        <v>18.803776816758454</v>
      </c>
      <c r="R39" s="286">
        <f t="shared" si="14"/>
        <v>140.68696439824865</v>
      </c>
      <c r="S39" s="293">
        <f t="shared" si="15"/>
        <v>171.15776129362118</v>
      </c>
      <c r="T39" s="148">
        <f t="shared" si="16"/>
        <v>148.7061213689488</v>
      </c>
      <c r="U39" s="20">
        <f t="shared" si="16"/>
        <v>180.91375368735757</v>
      </c>
    </row>
    <row r="42" spans="1:21" ht="14.25" hidden="1" customHeight="1" x14ac:dyDescent="0.25">
      <c r="A42" s="392" t="s">
        <v>131</v>
      </c>
      <c r="B42" s="392"/>
      <c r="C42" s="392"/>
      <c r="D42" s="392"/>
      <c r="E42" s="392"/>
      <c r="F42" s="392"/>
      <c r="G42" s="392"/>
      <c r="H42" s="392"/>
      <c r="I42" s="392"/>
      <c r="J42" s="392"/>
      <c r="K42" s="392"/>
      <c r="L42" s="392"/>
      <c r="M42" s="392"/>
      <c r="N42" s="392"/>
      <c r="O42" s="392"/>
      <c r="P42" s="392"/>
      <c r="Q42" s="392"/>
      <c r="R42" s="392"/>
      <c r="S42" s="392"/>
    </row>
    <row r="43" spans="1:21" ht="13.5" hidden="1" thickBot="1" x14ac:dyDescent="0.25"/>
    <row r="44" spans="1:21" ht="55.5" hidden="1" customHeight="1" thickBot="1" x14ac:dyDescent="0.25">
      <c r="A44" s="396" t="s">
        <v>109</v>
      </c>
      <c r="B44" s="399" t="s">
        <v>110</v>
      </c>
      <c r="C44" s="393" t="s">
        <v>111</v>
      </c>
      <c r="D44" s="399"/>
      <c r="E44" s="399"/>
      <c r="F44" s="399"/>
      <c r="G44" s="399"/>
      <c r="H44" s="399"/>
      <c r="I44" s="399"/>
      <c r="J44" s="399"/>
      <c r="K44" s="400"/>
      <c r="L44" s="401" t="s">
        <v>112</v>
      </c>
      <c r="M44" s="402"/>
      <c r="N44" s="402"/>
      <c r="O44" s="402"/>
      <c r="P44" s="402"/>
      <c r="Q44" s="403"/>
      <c r="R44" s="404" t="s">
        <v>113</v>
      </c>
      <c r="S44" s="429"/>
      <c r="T44" s="388" t="s">
        <v>114</v>
      </c>
      <c r="U44" s="389"/>
    </row>
    <row r="45" spans="1:21" ht="63.75" hidden="1" customHeight="1" x14ac:dyDescent="0.2">
      <c r="A45" s="397"/>
      <c r="B45" s="427"/>
      <c r="C45" s="431" t="s">
        <v>115</v>
      </c>
      <c r="D45" s="433" t="s">
        <v>116</v>
      </c>
      <c r="E45" s="433"/>
      <c r="F45" s="433"/>
      <c r="G45" s="434" t="s">
        <v>117</v>
      </c>
      <c r="H45" s="433" t="s">
        <v>118</v>
      </c>
      <c r="I45" s="433"/>
      <c r="J45" s="433"/>
      <c r="K45" s="410" t="s">
        <v>119</v>
      </c>
      <c r="L45" s="420" t="s">
        <v>120</v>
      </c>
      <c r="M45" s="385" t="s">
        <v>121</v>
      </c>
      <c r="N45" s="385" t="s">
        <v>122</v>
      </c>
      <c r="O45" s="385" t="s">
        <v>123</v>
      </c>
      <c r="P45" s="406" t="s">
        <v>124</v>
      </c>
      <c r="Q45" s="409" t="s">
        <v>125</v>
      </c>
      <c r="R45" s="405"/>
      <c r="S45" s="430"/>
      <c r="T45" s="390"/>
      <c r="U45" s="391"/>
    </row>
    <row r="46" spans="1:21" hidden="1" x14ac:dyDescent="0.2">
      <c r="A46" s="397"/>
      <c r="B46" s="427"/>
      <c r="C46" s="431"/>
      <c r="D46" s="412" t="s">
        <v>126</v>
      </c>
      <c r="E46" s="412" t="s">
        <v>127</v>
      </c>
      <c r="F46" s="412" t="s">
        <v>128</v>
      </c>
      <c r="G46" s="418"/>
      <c r="H46" s="412" t="s">
        <v>126</v>
      </c>
      <c r="I46" s="412" t="s">
        <v>127</v>
      </c>
      <c r="J46" s="412" t="s">
        <v>128</v>
      </c>
      <c r="K46" s="410"/>
      <c r="L46" s="390"/>
      <c r="M46" s="386"/>
      <c r="N46" s="386"/>
      <c r="O46" s="386"/>
      <c r="P46" s="407"/>
      <c r="Q46" s="410"/>
      <c r="R46" s="405"/>
      <c r="S46" s="430"/>
      <c r="T46" s="390"/>
      <c r="U46" s="391"/>
    </row>
    <row r="47" spans="1:21" ht="39" hidden="1" customHeight="1" thickBot="1" x14ac:dyDescent="0.25">
      <c r="A47" s="398"/>
      <c r="B47" s="428"/>
      <c r="C47" s="432"/>
      <c r="D47" s="413"/>
      <c r="E47" s="413"/>
      <c r="F47" s="413"/>
      <c r="G47" s="419"/>
      <c r="H47" s="413"/>
      <c r="I47" s="413"/>
      <c r="J47" s="413"/>
      <c r="K47" s="411"/>
      <c r="L47" s="421"/>
      <c r="M47" s="387"/>
      <c r="N47" s="387"/>
      <c r="O47" s="387"/>
      <c r="P47" s="408"/>
      <c r="Q47" s="411"/>
      <c r="R47" s="21" t="s">
        <v>116</v>
      </c>
      <c r="S47" s="3" t="s">
        <v>129</v>
      </c>
      <c r="T47" s="22" t="s">
        <v>116</v>
      </c>
      <c r="U47" s="23" t="s">
        <v>129</v>
      </c>
    </row>
    <row r="48" spans="1:21" ht="13.5" hidden="1" thickBot="1" x14ac:dyDescent="0.25">
      <c r="A48" s="24">
        <v>1</v>
      </c>
      <c r="B48" s="163" t="s">
        <v>76</v>
      </c>
      <c r="C48" s="6">
        <v>139</v>
      </c>
      <c r="D48" s="7">
        <v>0.8</v>
      </c>
      <c r="E48" s="7">
        <v>0.9</v>
      </c>
      <c r="F48" s="7">
        <v>0.8</v>
      </c>
      <c r="G48" s="8">
        <f>C48*D48*E48*F48</f>
        <v>80.064000000000007</v>
      </c>
      <c r="H48" s="7">
        <v>1</v>
      </c>
      <c r="I48" s="7">
        <v>0.9</v>
      </c>
      <c r="J48" s="7">
        <v>0.8</v>
      </c>
      <c r="K48" s="9">
        <f>C48*H48*I48*J48</f>
        <v>100.08000000000001</v>
      </c>
      <c r="L48" s="10">
        <v>4</v>
      </c>
      <c r="M48" s="7">
        <v>0.93</v>
      </c>
      <c r="N48" s="7">
        <v>0.96</v>
      </c>
      <c r="O48" s="7">
        <v>5.73</v>
      </c>
      <c r="P48" s="7">
        <v>4.55</v>
      </c>
      <c r="Q48" s="11">
        <f>L48+M48+N48+O48+P48</f>
        <v>16.170000000000002</v>
      </c>
      <c r="R48" s="12">
        <f>G48+Q48</f>
        <v>96.234000000000009</v>
      </c>
      <c r="S48" s="11">
        <f>K48+Q48</f>
        <v>116.25000000000001</v>
      </c>
      <c r="T48" s="26">
        <f>81*1.057</f>
        <v>85.61699999999999</v>
      </c>
      <c r="U48" s="27">
        <f>98*1.057</f>
        <v>103.586</v>
      </c>
    </row>
    <row r="49" spans="1:22" hidden="1" x14ac:dyDescent="0.2"/>
    <row r="50" spans="1:22" hidden="1" x14ac:dyDescent="0.2"/>
    <row r="51" spans="1:22" ht="15.75" x14ac:dyDescent="0.25">
      <c r="A51" s="392" t="s">
        <v>132</v>
      </c>
      <c r="B51" s="392"/>
      <c r="C51" s="392"/>
      <c r="D51" s="392"/>
      <c r="E51" s="392"/>
      <c r="F51" s="392"/>
      <c r="G51" s="392"/>
      <c r="H51" s="392"/>
      <c r="I51" s="392"/>
      <c r="J51" s="392"/>
      <c r="K51" s="392"/>
      <c r="L51" s="392"/>
      <c r="M51" s="392"/>
      <c r="N51" s="392"/>
      <c r="O51" s="392"/>
      <c r="P51" s="392"/>
      <c r="Q51" s="392"/>
      <c r="R51" s="392"/>
      <c r="S51" s="392"/>
    </row>
    <row r="52" spans="1:22" ht="13.5" thickBot="1" x14ac:dyDescent="0.25"/>
    <row r="53" spans="1:22" ht="54.75" customHeight="1" thickBot="1" x14ac:dyDescent="0.25">
      <c r="A53" s="393" t="s">
        <v>109</v>
      </c>
      <c r="B53" s="396" t="s">
        <v>110</v>
      </c>
      <c r="C53" s="393" t="s">
        <v>111</v>
      </c>
      <c r="D53" s="399"/>
      <c r="E53" s="399"/>
      <c r="F53" s="399"/>
      <c r="G53" s="399"/>
      <c r="H53" s="399"/>
      <c r="I53" s="399"/>
      <c r="J53" s="399"/>
      <c r="K53" s="400"/>
      <c r="L53" s="401" t="s">
        <v>112</v>
      </c>
      <c r="M53" s="402"/>
      <c r="N53" s="402"/>
      <c r="O53" s="402"/>
      <c r="P53" s="402"/>
      <c r="Q53" s="403"/>
      <c r="R53" s="404" t="s">
        <v>113</v>
      </c>
      <c r="S53" s="389"/>
      <c r="T53" s="388" t="s">
        <v>114</v>
      </c>
      <c r="U53" s="389"/>
    </row>
    <row r="54" spans="1:22" ht="63.75" customHeight="1" x14ac:dyDescent="0.2">
      <c r="A54" s="394"/>
      <c r="B54" s="397"/>
      <c r="C54" s="414" t="s">
        <v>115</v>
      </c>
      <c r="D54" s="417" t="s">
        <v>116</v>
      </c>
      <c r="E54" s="417"/>
      <c r="F54" s="417"/>
      <c r="G54" s="418" t="s">
        <v>117</v>
      </c>
      <c r="H54" s="417" t="s">
        <v>118</v>
      </c>
      <c r="I54" s="417"/>
      <c r="J54" s="417"/>
      <c r="K54" s="410" t="s">
        <v>119</v>
      </c>
      <c r="L54" s="420" t="s">
        <v>120</v>
      </c>
      <c r="M54" s="385" t="s">
        <v>121</v>
      </c>
      <c r="N54" s="385" t="s">
        <v>122</v>
      </c>
      <c r="O54" s="385" t="s">
        <v>123</v>
      </c>
      <c r="P54" s="406" t="s">
        <v>124</v>
      </c>
      <c r="Q54" s="409" t="s">
        <v>125</v>
      </c>
      <c r="R54" s="405"/>
      <c r="S54" s="391"/>
      <c r="T54" s="390"/>
      <c r="U54" s="391"/>
    </row>
    <row r="55" spans="1:22" x14ac:dyDescent="0.2">
      <c r="A55" s="394"/>
      <c r="B55" s="397"/>
      <c r="C55" s="415"/>
      <c r="D55" s="412" t="s">
        <v>126</v>
      </c>
      <c r="E55" s="412" t="s">
        <v>127</v>
      </c>
      <c r="F55" s="412" t="s">
        <v>128</v>
      </c>
      <c r="G55" s="418"/>
      <c r="H55" s="412" t="s">
        <v>126</v>
      </c>
      <c r="I55" s="412" t="s">
        <v>127</v>
      </c>
      <c r="J55" s="412" t="s">
        <v>128</v>
      </c>
      <c r="K55" s="410"/>
      <c r="L55" s="390"/>
      <c r="M55" s="386"/>
      <c r="N55" s="386"/>
      <c r="O55" s="386"/>
      <c r="P55" s="407"/>
      <c r="Q55" s="410"/>
      <c r="R55" s="405"/>
      <c r="S55" s="391"/>
      <c r="T55" s="390"/>
      <c r="U55" s="391"/>
    </row>
    <row r="56" spans="1:22" ht="43.5" customHeight="1" thickBot="1" x14ac:dyDescent="0.25">
      <c r="A56" s="395"/>
      <c r="B56" s="398"/>
      <c r="C56" s="416"/>
      <c r="D56" s="413"/>
      <c r="E56" s="413"/>
      <c r="F56" s="413"/>
      <c r="G56" s="419"/>
      <c r="H56" s="413"/>
      <c r="I56" s="413"/>
      <c r="J56" s="413"/>
      <c r="K56" s="411"/>
      <c r="L56" s="421"/>
      <c r="M56" s="387"/>
      <c r="N56" s="387"/>
      <c r="O56" s="387"/>
      <c r="P56" s="408"/>
      <c r="Q56" s="411"/>
      <c r="R56" s="21" t="s">
        <v>116</v>
      </c>
      <c r="S56" s="28" t="s">
        <v>129</v>
      </c>
      <c r="T56" s="4" t="s">
        <v>116</v>
      </c>
      <c r="U56" s="5" t="s">
        <v>129</v>
      </c>
    </row>
    <row r="57" spans="1:22" ht="20.25" customHeight="1" thickBot="1" x14ac:dyDescent="0.25">
      <c r="A57" s="164">
        <v>1</v>
      </c>
      <c r="B57" s="168" t="s">
        <v>76</v>
      </c>
      <c r="C57" s="220">
        <f>'от продуктов'!I36</f>
        <v>238.05310074509799</v>
      </c>
      <c r="D57" s="169">
        <v>0.8</v>
      </c>
      <c r="E57" s="169">
        <v>0.9</v>
      </c>
      <c r="F57" s="169">
        <v>0.8</v>
      </c>
      <c r="G57" s="294">
        <f>C57*D57*E57*F57</f>
        <v>137.11858602917647</v>
      </c>
      <c r="H57" s="7">
        <v>1</v>
      </c>
      <c r="I57" s="7">
        <v>0.9</v>
      </c>
      <c r="J57" s="7">
        <v>0.8</v>
      </c>
      <c r="K57" s="296">
        <f>C57*H57*I57*J57</f>
        <v>171.39823253647057</v>
      </c>
      <c r="L57" s="201">
        <f>'присмотр МДОО'!$J$21</f>
        <v>5.5782920310981545</v>
      </c>
      <c r="M57" s="221">
        <f>'присмотр МДОО'!$H$51</f>
        <v>4.5559523809523821</v>
      </c>
      <c r="N57" s="210">
        <f>'присмотр МДОО'!$J$70</f>
        <v>1.7443283662671418</v>
      </c>
      <c r="O57" s="165">
        <v>0</v>
      </c>
      <c r="P57" s="212">
        <f>'присмотр МДОО'!$C$78</f>
        <v>6.925204038440774</v>
      </c>
      <c r="Q57" s="298">
        <f>L57+M57+N57+O57+P57</f>
        <v>18.803776816758454</v>
      </c>
      <c r="R57" s="299">
        <f>G57+Q57</f>
        <v>155.92236284593491</v>
      </c>
      <c r="S57" s="297">
        <f>K57+Q57</f>
        <v>190.20200935322902</v>
      </c>
      <c r="T57" s="166"/>
      <c r="U57" s="167"/>
      <c r="V57" s="202"/>
    </row>
    <row r="58" spans="1:22" ht="16.5" customHeight="1" thickBot="1" x14ac:dyDescent="0.25">
      <c r="A58" s="29">
        <v>2</v>
      </c>
      <c r="B58" s="30" t="s">
        <v>69</v>
      </c>
      <c r="C58" s="220">
        <f>'от продуктов'!I36</f>
        <v>238.05310074509799</v>
      </c>
      <c r="D58" s="31">
        <v>0.8</v>
      </c>
      <c r="E58" s="31">
        <v>0.9</v>
      </c>
      <c r="F58" s="31">
        <v>0.8</v>
      </c>
      <c r="G58" s="295">
        <f>C58*D58*E58*F58</f>
        <v>137.11858602917647</v>
      </c>
      <c r="H58" s="31">
        <v>1</v>
      </c>
      <c r="I58" s="31">
        <v>0.9</v>
      </c>
      <c r="J58" s="31">
        <v>0.8</v>
      </c>
      <c r="K58" s="297">
        <f>C58*H58*I58*J58</f>
        <v>171.39823253647057</v>
      </c>
      <c r="L58" s="201">
        <f>'присмотр МДОО'!$J$21</f>
        <v>5.5782920310981545</v>
      </c>
      <c r="M58" s="221">
        <f>'присмотр МДОО'!$H$51</f>
        <v>4.5559523809523821</v>
      </c>
      <c r="N58" s="210">
        <f>'присмотр МДОО'!$J$70</f>
        <v>1.7443283662671418</v>
      </c>
      <c r="O58" s="31">
        <v>0</v>
      </c>
      <c r="P58" s="212">
        <f>'присмотр МДОО'!$C$78</f>
        <v>6.925204038440774</v>
      </c>
      <c r="Q58" s="298">
        <f>L58+M58+N58+O58+P58</f>
        <v>18.803776816758454</v>
      </c>
      <c r="R58" s="299">
        <f>G58+Q58</f>
        <v>155.92236284593491</v>
      </c>
      <c r="S58" s="297">
        <f>K58+Q58</f>
        <v>190.20200935322902</v>
      </c>
      <c r="T58" s="26">
        <f>77*1.057</f>
        <v>81.388999999999996</v>
      </c>
      <c r="U58" s="27">
        <f>94*1.057</f>
        <v>99.35799999999999</v>
      </c>
    </row>
    <row r="59" spans="1:22" x14ac:dyDescent="0.2">
      <c r="T59" s="32"/>
      <c r="U59" s="32"/>
    </row>
    <row r="60" spans="1:22" x14ac:dyDescent="0.2">
      <c r="T60" s="32"/>
      <c r="U60" s="32"/>
    </row>
    <row r="61" spans="1:22" ht="23.25" customHeight="1" x14ac:dyDescent="0.2">
      <c r="A61" s="426" t="s">
        <v>133</v>
      </c>
      <c r="B61" s="426"/>
      <c r="C61" s="426"/>
      <c r="D61" s="426"/>
      <c r="E61" s="426"/>
      <c r="F61" s="426"/>
      <c r="G61" s="426"/>
      <c r="H61" s="426"/>
      <c r="I61" s="426"/>
      <c r="J61" s="426"/>
      <c r="K61" s="426"/>
      <c r="L61" s="426"/>
      <c r="M61" s="426"/>
      <c r="N61" s="426"/>
      <c r="O61" s="426"/>
      <c r="P61" s="426"/>
      <c r="Q61" s="426"/>
      <c r="R61" s="426"/>
      <c r="S61" s="426"/>
      <c r="T61" s="32"/>
      <c r="U61" s="32"/>
    </row>
    <row r="62" spans="1:22" ht="13.5" thickBot="1" x14ac:dyDescent="0.25">
      <c r="T62" s="32"/>
      <c r="U62" s="32"/>
    </row>
    <row r="63" spans="1:22" ht="54" customHeight="1" thickBot="1" x14ac:dyDescent="0.25">
      <c r="A63" s="393" t="s">
        <v>109</v>
      </c>
      <c r="B63" s="396" t="s">
        <v>110</v>
      </c>
      <c r="C63" s="393" t="s">
        <v>111</v>
      </c>
      <c r="D63" s="399"/>
      <c r="E63" s="399"/>
      <c r="F63" s="399"/>
      <c r="G63" s="399"/>
      <c r="H63" s="399"/>
      <c r="I63" s="399"/>
      <c r="J63" s="399"/>
      <c r="K63" s="400"/>
      <c r="L63" s="401" t="s">
        <v>112</v>
      </c>
      <c r="M63" s="402"/>
      <c r="N63" s="402"/>
      <c r="O63" s="402"/>
      <c r="P63" s="402"/>
      <c r="Q63" s="403"/>
      <c r="R63" s="404" t="s">
        <v>113</v>
      </c>
      <c r="S63" s="389"/>
      <c r="T63" s="388" t="s">
        <v>114</v>
      </c>
      <c r="U63" s="389"/>
    </row>
    <row r="64" spans="1:22" ht="63.75" customHeight="1" x14ac:dyDescent="0.2">
      <c r="A64" s="394"/>
      <c r="B64" s="397"/>
      <c r="C64" s="414" t="s">
        <v>115</v>
      </c>
      <c r="D64" s="417" t="s">
        <v>116</v>
      </c>
      <c r="E64" s="417"/>
      <c r="F64" s="417"/>
      <c r="G64" s="418" t="s">
        <v>117</v>
      </c>
      <c r="H64" s="417" t="s">
        <v>118</v>
      </c>
      <c r="I64" s="417"/>
      <c r="J64" s="417"/>
      <c r="K64" s="410" t="s">
        <v>119</v>
      </c>
      <c r="L64" s="420" t="s">
        <v>120</v>
      </c>
      <c r="M64" s="385" t="s">
        <v>121</v>
      </c>
      <c r="N64" s="385" t="s">
        <v>122</v>
      </c>
      <c r="O64" s="385" t="s">
        <v>123</v>
      </c>
      <c r="P64" s="406" t="s">
        <v>124</v>
      </c>
      <c r="Q64" s="409" t="s">
        <v>125</v>
      </c>
      <c r="R64" s="405"/>
      <c r="S64" s="391"/>
      <c r="T64" s="390"/>
      <c r="U64" s="391"/>
    </row>
    <row r="65" spans="1:21" x14ac:dyDescent="0.2">
      <c r="A65" s="394"/>
      <c r="B65" s="397"/>
      <c r="C65" s="415"/>
      <c r="D65" s="412" t="s">
        <v>126</v>
      </c>
      <c r="E65" s="412" t="s">
        <v>127</v>
      </c>
      <c r="F65" s="412" t="s">
        <v>128</v>
      </c>
      <c r="G65" s="418"/>
      <c r="H65" s="412" t="s">
        <v>126</v>
      </c>
      <c r="I65" s="412" t="s">
        <v>127</v>
      </c>
      <c r="J65" s="412" t="s">
        <v>128</v>
      </c>
      <c r="K65" s="410"/>
      <c r="L65" s="390"/>
      <c r="M65" s="386"/>
      <c r="N65" s="386"/>
      <c r="O65" s="386"/>
      <c r="P65" s="407"/>
      <c r="Q65" s="410"/>
      <c r="R65" s="405"/>
      <c r="S65" s="391"/>
      <c r="T65" s="390"/>
      <c r="U65" s="391"/>
    </row>
    <row r="66" spans="1:21" ht="40.5" customHeight="1" thickBot="1" x14ac:dyDescent="0.25">
      <c r="A66" s="395"/>
      <c r="B66" s="398"/>
      <c r="C66" s="416"/>
      <c r="D66" s="413"/>
      <c r="E66" s="413"/>
      <c r="F66" s="413"/>
      <c r="G66" s="419"/>
      <c r="H66" s="413"/>
      <c r="I66" s="413"/>
      <c r="J66" s="413"/>
      <c r="K66" s="411"/>
      <c r="L66" s="421"/>
      <c r="M66" s="387"/>
      <c r="N66" s="387"/>
      <c r="O66" s="387"/>
      <c r="P66" s="408"/>
      <c r="Q66" s="411"/>
      <c r="R66" s="33" t="s">
        <v>116</v>
      </c>
      <c r="S66" s="34" t="s">
        <v>129</v>
      </c>
      <c r="T66" s="4" t="s">
        <v>116</v>
      </c>
      <c r="U66" s="5" t="s">
        <v>129</v>
      </c>
    </row>
    <row r="67" spans="1:21" ht="13.5" thickBot="1" x14ac:dyDescent="0.25">
      <c r="A67" s="24">
        <v>1</v>
      </c>
      <c r="B67" s="25" t="s">
        <v>74</v>
      </c>
      <c r="C67" s="281">
        <f>'от продуктов'!I36</f>
        <v>238.05310074509799</v>
      </c>
      <c r="D67" s="18">
        <v>0.8</v>
      </c>
      <c r="E67" s="18">
        <v>1</v>
      </c>
      <c r="F67" s="18">
        <v>0.8</v>
      </c>
      <c r="G67" s="300">
        <f>C67*D67*E67*F67</f>
        <v>152.35398447686273</v>
      </c>
      <c r="H67" s="18">
        <v>1</v>
      </c>
      <c r="I67" s="18">
        <v>1</v>
      </c>
      <c r="J67" s="18">
        <v>0.8</v>
      </c>
      <c r="K67" s="301">
        <f>C67*H67*I67*J67</f>
        <v>190.44248059607841</v>
      </c>
      <c r="L67" s="201">
        <f>'присмотр МДОО'!$J$21</f>
        <v>5.5782920310981545</v>
      </c>
      <c r="M67" s="221">
        <f>'присмотр МДОО'!$H$51</f>
        <v>4.5559523809523821</v>
      </c>
      <c r="N67" s="210">
        <f>'присмотр МДОО'!$J$70</f>
        <v>1.7443283662671418</v>
      </c>
      <c r="O67" s="221">
        <f>'присмотр МДОО'!$H$57</f>
        <v>7.7049183673469406</v>
      </c>
      <c r="P67" s="212">
        <f>'присмотр МДОО'!$C$78</f>
        <v>6.925204038440774</v>
      </c>
      <c r="Q67" s="302">
        <f>L67+M67+N67+O67+P67</f>
        <v>26.508695184105395</v>
      </c>
      <c r="R67" s="303">
        <f>G67+Q67</f>
        <v>178.86267966096813</v>
      </c>
      <c r="S67" s="302">
        <f>K67+Q67</f>
        <v>216.9511757801838</v>
      </c>
      <c r="T67" s="26">
        <f>85*1.057</f>
        <v>89.844999999999999</v>
      </c>
      <c r="U67" s="27">
        <f>S67*1.057</f>
        <v>229.31739279965427</v>
      </c>
    </row>
    <row r="68" spans="1:21" x14ac:dyDescent="0.2">
      <c r="A68" s="35"/>
      <c r="B68" s="36"/>
      <c r="C68" s="37"/>
      <c r="T68" s="32"/>
      <c r="U68" s="32"/>
    </row>
    <row r="69" spans="1:21" hidden="1" x14ac:dyDescent="0.2">
      <c r="A69" s="35"/>
      <c r="B69" s="36"/>
      <c r="C69" s="37"/>
      <c r="T69" s="32"/>
      <c r="U69" s="32"/>
    </row>
    <row r="70" spans="1:21" ht="15.75" hidden="1" x14ac:dyDescent="0.25">
      <c r="A70" s="392" t="s">
        <v>134</v>
      </c>
      <c r="B70" s="392"/>
      <c r="C70" s="392"/>
      <c r="D70" s="392"/>
      <c r="E70" s="392"/>
      <c r="F70" s="392"/>
      <c r="G70" s="392"/>
      <c r="H70" s="392"/>
      <c r="I70" s="392"/>
      <c r="J70" s="392"/>
      <c r="K70" s="392"/>
      <c r="L70" s="392"/>
      <c r="M70" s="392"/>
      <c r="N70" s="392"/>
      <c r="O70" s="392"/>
      <c r="P70" s="392"/>
      <c r="Q70" s="392"/>
      <c r="R70" s="392"/>
      <c r="S70" s="392"/>
      <c r="T70" s="32"/>
      <c r="U70" s="32"/>
    </row>
    <row r="71" spans="1:21" ht="13.5" hidden="1" thickBot="1" x14ac:dyDescent="0.25">
      <c r="T71" s="32"/>
      <c r="U71" s="32"/>
    </row>
    <row r="72" spans="1:21" ht="54.75" hidden="1" customHeight="1" thickBot="1" x14ac:dyDescent="0.25">
      <c r="A72" s="393" t="s">
        <v>109</v>
      </c>
      <c r="B72" s="396" t="s">
        <v>110</v>
      </c>
      <c r="C72" s="393" t="s">
        <v>111</v>
      </c>
      <c r="D72" s="399"/>
      <c r="E72" s="399"/>
      <c r="F72" s="399"/>
      <c r="G72" s="399"/>
      <c r="H72" s="399"/>
      <c r="I72" s="399"/>
      <c r="J72" s="399"/>
      <c r="K72" s="400"/>
      <c r="L72" s="401" t="s">
        <v>112</v>
      </c>
      <c r="M72" s="402"/>
      <c r="N72" s="402"/>
      <c r="O72" s="402"/>
      <c r="P72" s="402"/>
      <c r="Q72" s="403"/>
      <c r="R72" s="404" t="s">
        <v>113</v>
      </c>
      <c r="S72" s="389"/>
      <c r="T72" s="388" t="s">
        <v>114</v>
      </c>
      <c r="U72" s="389"/>
    </row>
    <row r="73" spans="1:21" ht="63.75" hidden="1" customHeight="1" x14ac:dyDescent="0.2">
      <c r="A73" s="394"/>
      <c r="B73" s="397"/>
      <c r="C73" s="414" t="s">
        <v>115</v>
      </c>
      <c r="D73" s="417" t="s">
        <v>116</v>
      </c>
      <c r="E73" s="417"/>
      <c r="F73" s="417"/>
      <c r="G73" s="418" t="s">
        <v>117</v>
      </c>
      <c r="H73" s="417" t="s">
        <v>118</v>
      </c>
      <c r="I73" s="417"/>
      <c r="J73" s="417"/>
      <c r="K73" s="410" t="s">
        <v>119</v>
      </c>
      <c r="L73" s="420" t="s">
        <v>120</v>
      </c>
      <c r="M73" s="385" t="s">
        <v>121</v>
      </c>
      <c r="N73" s="385" t="s">
        <v>122</v>
      </c>
      <c r="O73" s="385" t="s">
        <v>123</v>
      </c>
      <c r="P73" s="406" t="s">
        <v>124</v>
      </c>
      <c r="Q73" s="409" t="s">
        <v>125</v>
      </c>
      <c r="R73" s="405"/>
      <c r="S73" s="391"/>
      <c r="T73" s="390"/>
      <c r="U73" s="391"/>
    </row>
    <row r="74" spans="1:21" hidden="1" x14ac:dyDescent="0.2">
      <c r="A74" s="394"/>
      <c r="B74" s="397"/>
      <c r="C74" s="415"/>
      <c r="D74" s="412" t="s">
        <v>126</v>
      </c>
      <c r="E74" s="412" t="s">
        <v>127</v>
      </c>
      <c r="F74" s="412" t="s">
        <v>128</v>
      </c>
      <c r="G74" s="418"/>
      <c r="H74" s="412" t="s">
        <v>126</v>
      </c>
      <c r="I74" s="412" t="s">
        <v>127</v>
      </c>
      <c r="J74" s="412" t="s">
        <v>128</v>
      </c>
      <c r="K74" s="410"/>
      <c r="L74" s="390"/>
      <c r="M74" s="386"/>
      <c r="N74" s="386"/>
      <c r="O74" s="386"/>
      <c r="P74" s="407"/>
      <c r="Q74" s="410"/>
      <c r="R74" s="405"/>
      <c r="S74" s="391"/>
      <c r="T74" s="390"/>
      <c r="U74" s="391"/>
    </row>
    <row r="75" spans="1:21" ht="41.25" hidden="1" customHeight="1" thickBot="1" x14ac:dyDescent="0.25">
      <c r="A75" s="395"/>
      <c r="B75" s="398"/>
      <c r="C75" s="416"/>
      <c r="D75" s="413"/>
      <c r="E75" s="413"/>
      <c r="F75" s="413"/>
      <c r="G75" s="419"/>
      <c r="H75" s="413"/>
      <c r="I75" s="413"/>
      <c r="J75" s="413"/>
      <c r="K75" s="411"/>
      <c r="L75" s="421"/>
      <c r="M75" s="387"/>
      <c r="N75" s="387"/>
      <c r="O75" s="387"/>
      <c r="P75" s="408"/>
      <c r="Q75" s="411"/>
      <c r="R75" s="21" t="s">
        <v>116</v>
      </c>
      <c r="S75" s="28" t="s">
        <v>129</v>
      </c>
      <c r="T75" s="22" t="s">
        <v>116</v>
      </c>
      <c r="U75" s="23" t="s">
        <v>129</v>
      </c>
    </row>
    <row r="76" spans="1:21" ht="13.5" hidden="1" thickBot="1" x14ac:dyDescent="0.25">
      <c r="A76" s="38">
        <v>1</v>
      </c>
      <c r="B76" s="39" t="s">
        <v>66</v>
      </c>
      <c r="C76" s="40">
        <f>'от продуктов'!I36</f>
        <v>238.05310074509799</v>
      </c>
      <c r="D76" s="41">
        <v>0.8</v>
      </c>
      <c r="E76" s="41">
        <v>0.8</v>
      </c>
      <c r="F76" s="41">
        <v>0.9</v>
      </c>
      <c r="G76" s="42">
        <f>C76*D76*E76*F76</f>
        <v>137.11858602917647</v>
      </c>
      <c r="H76" s="41">
        <v>1</v>
      </c>
      <c r="I76" s="41">
        <v>0.8</v>
      </c>
      <c r="J76" s="41">
        <v>0.9</v>
      </c>
      <c r="K76" s="43">
        <f>C76*H76*I76*J76</f>
        <v>171.39823253647057</v>
      </c>
      <c r="L76" s="201">
        <f>'присмотр МДОО'!$J$21</f>
        <v>5.5782920310981545</v>
      </c>
      <c r="M76" s="175">
        <v>1</v>
      </c>
      <c r="N76" s="210">
        <f>'присмотр МДОО'!$J$70</f>
        <v>1.7443283662671418</v>
      </c>
      <c r="O76" s="221">
        <f>'присмотр МДОО'!$H$57</f>
        <v>7.7049183673469406</v>
      </c>
      <c r="P76" s="212">
        <f>'присмотр МДОО'!$C$78</f>
        <v>6.925204038440774</v>
      </c>
      <c r="Q76" s="44">
        <f>L76+M76+N76+O76+P76</f>
        <v>22.952742803153011</v>
      </c>
      <c r="R76" s="45">
        <f>G76+Q76</f>
        <v>160.07132883232947</v>
      </c>
      <c r="S76" s="43">
        <f>K76+Q76</f>
        <v>194.35097533962357</v>
      </c>
      <c r="T76" s="46">
        <f>81*1.057</f>
        <v>85.61699999999999</v>
      </c>
      <c r="U76" s="47">
        <f>98*1.057</f>
        <v>103.586</v>
      </c>
    </row>
    <row r="77" spans="1:21" hidden="1" x14ac:dyDescent="0.2"/>
    <row r="79" spans="1:21" ht="15.75" x14ac:dyDescent="0.25">
      <c r="A79" s="392" t="s">
        <v>135</v>
      </c>
      <c r="B79" s="392"/>
      <c r="C79" s="392"/>
      <c r="D79" s="392"/>
      <c r="E79" s="392"/>
      <c r="F79" s="392"/>
      <c r="G79" s="392"/>
      <c r="H79" s="392"/>
      <c r="I79" s="392"/>
      <c r="J79" s="392"/>
      <c r="K79" s="392"/>
      <c r="L79" s="392"/>
      <c r="M79" s="392"/>
      <c r="N79" s="392"/>
      <c r="O79" s="392"/>
      <c r="P79" s="392"/>
      <c r="Q79" s="392"/>
      <c r="R79" s="392"/>
      <c r="S79" s="392"/>
    </row>
    <row r="80" spans="1:21" ht="13.5" thickBot="1" x14ac:dyDescent="0.25"/>
    <row r="81" spans="1:21" ht="56.25" customHeight="1" thickBot="1" x14ac:dyDescent="0.25">
      <c r="A81" s="393" t="s">
        <v>109</v>
      </c>
      <c r="B81" s="396" t="s">
        <v>110</v>
      </c>
      <c r="C81" s="393" t="s">
        <v>111</v>
      </c>
      <c r="D81" s="399"/>
      <c r="E81" s="399"/>
      <c r="F81" s="399"/>
      <c r="G81" s="399"/>
      <c r="H81" s="399"/>
      <c r="I81" s="399"/>
      <c r="J81" s="399"/>
      <c r="K81" s="400"/>
      <c r="L81" s="401" t="s">
        <v>112</v>
      </c>
      <c r="M81" s="402"/>
      <c r="N81" s="402"/>
      <c r="O81" s="402"/>
      <c r="P81" s="402"/>
      <c r="Q81" s="403"/>
      <c r="R81" s="404" t="s">
        <v>113</v>
      </c>
      <c r="S81" s="389"/>
      <c r="T81" s="388" t="s">
        <v>114</v>
      </c>
      <c r="U81" s="389"/>
    </row>
    <row r="82" spans="1:21" ht="63.75" customHeight="1" x14ac:dyDescent="0.2">
      <c r="A82" s="394"/>
      <c r="B82" s="397"/>
      <c r="C82" s="414" t="s">
        <v>115</v>
      </c>
      <c r="D82" s="417" t="s">
        <v>116</v>
      </c>
      <c r="E82" s="417"/>
      <c r="F82" s="417"/>
      <c r="G82" s="418" t="s">
        <v>117</v>
      </c>
      <c r="H82" s="417" t="s">
        <v>118</v>
      </c>
      <c r="I82" s="417"/>
      <c r="J82" s="417"/>
      <c r="K82" s="410" t="s">
        <v>119</v>
      </c>
      <c r="L82" s="420" t="s">
        <v>120</v>
      </c>
      <c r="M82" s="385" t="s">
        <v>121</v>
      </c>
      <c r="N82" s="385" t="s">
        <v>122</v>
      </c>
      <c r="O82" s="385" t="s">
        <v>123</v>
      </c>
      <c r="P82" s="406" t="s">
        <v>124</v>
      </c>
      <c r="Q82" s="409" t="s">
        <v>125</v>
      </c>
      <c r="R82" s="405"/>
      <c r="S82" s="391"/>
      <c r="T82" s="390"/>
      <c r="U82" s="391"/>
    </row>
    <row r="83" spans="1:21" x14ac:dyDescent="0.2">
      <c r="A83" s="394"/>
      <c r="B83" s="397"/>
      <c r="C83" s="415"/>
      <c r="D83" s="412" t="s">
        <v>126</v>
      </c>
      <c r="E83" s="412" t="s">
        <v>127</v>
      </c>
      <c r="F83" s="412" t="s">
        <v>128</v>
      </c>
      <c r="G83" s="418"/>
      <c r="H83" s="412" t="s">
        <v>126</v>
      </c>
      <c r="I83" s="412" t="s">
        <v>127</v>
      </c>
      <c r="J83" s="412" t="s">
        <v>128</v>
      </c>
      <c r="K83" s="410"/>
      <c r="L83" s="390"/>
      <c r="M83" s="386"/>
      <c r="N83" s="386"/>
      <c r="O83" s="386"/>
      <c r="P83" s="407"/>
      <c r="Q83" s="410"/>
      <c r="R83" s="405"/>
      <c r="S83" s="391"/>
      <c r="T83" s="390"/>
      <c r="U83" s="391"/>
    </row>
    <row r="84" spans="1:21" ht="36" customHeight="1" thickBot="1" x14ac:dyDescent="0.25">
      <c r="A84" s="395"/>
      <c r="B84" s="422"/>
      <c r="C84" s="415"/>
      <c r="D84" s="413"/>
      <c r="E84" s="413"/>
      <c r="F84" s="413"/>
      <c r="G84" s="419"/>
      <c r="H84" s="413"/>
      <c r="I84" s="413"/>
      <c r="J84" s="413"/>
      <c r="K84" s="411"/>
      <c r="L84" s="423"/>
      <c r="M84" s="424"/>
      <c r="N84" s="424"/>
      <c r="O84" s="424"/>
      <c r="P84" s="425"/>
      <c r="Q84" s="411"/>
      <c r="R84" s="21" t="s">
        <v>116</v>
      </c>
      <c r="S84" s="28" t="s">
        <v>129</v>
      </c>
      <c r="T84" s="22" t="s">
        <v>116</v>
      </c>
      <c r="U84" s="23" t="s">
        <v>129</v>
      </c>
    </row>
    <row r="85" spans="1:21" ht="13.5" thickBot="1" x14ac:dyDescent="0.25">
      <c r="A85" s="38">
        <v>1</v>
      </c>
      <c r="B85" s="187" t="s">
        <v>68</v>
      </c>
      <c r="C85" s="280">
        <f>'от продуктов'!$I$36</f>
        <v>238.05310074509799</v>
      </c>
      <c r="D85" s="190">
        <v>0.8</v>
      </c>
      <c r="E85" s="50">
        <v>0.8</v>
      </c>
      <c r="F85" s="50">
        <v>0.9</v>
      </c>
      <c r="G85" s="304">
        <f>C85*D85*E85*F85</f>
        <v>137.11858602917647</v>
      </c>
      <c r="H85" s="50">
        <v>1</v>
      </c>
      <c r="I85" s="50">
        <v>0.8</v>
      </c>
      <c r="J85" s="50">
        <v>0.9</v>
      </c>
      <c r="K85" s="305">
        <f>C85*H85*I85*J85</f>
        <v>171.39823253647057</v>
      </c>
      <c r="L85" s="201">
        <f>'присмотр МДОО'!$J$21</f>
        <v>5.5782920310981545</v>
      </c>
      <c r="M85" s="221">
        <f>'присмотр МДОО'!$H$51</f>
        <v>4.5559523809523821</v>
      </c>
      <c r="N85" s="210">
        <f>'присмотр МДОО'!$J$70</f>
        <v>1.7443283662671418</v>
      </c>
      <c r="O85" s="41">
        <v>0</v>
      </c>
      <c r="P85" s="212">
        <f>'присмотр МДОО'!$C$78</f>
        <v>6.925204038440774</v>
      </c>
      <c r="Q85" s="306">
        <f>L85+M85+N85+O85+P85</f>
        <v>18.803776816758454</v>
      </c>
      <c r="R85" s="307">
        <f>G85+Q85</f>
        <v>155.92236284593491</v>
      </c>
      <c r="S85" s="305">
        <f>K85+Q85</f>
        <v>190.20200935322902</v>
      </c>
      <c r="T85" s="46">
        <f>77*1.057</f>
        <v>81.388999999999996</v>
      </c>
      <c r="U85" s="47">
        <f>S85*1.057</f>
        <v>201.04352388636306</v>
      </c>
    </row>
    <row r="86" spans="1:21" ht="13.5" thickBot="1" x14ac:dyDescent="0.25">
      <c r="A86" s="51">
        <v>2</v>
      </c>
      <c r="B86" s="188" t="s">
        <v>71</v>
      </c>
      <c r="C86" s="280">
        <f>'от продуктов'!$I$36</f>
        <v>238.05310074509799</v>
      </c>
      <c r="D86" s="176">
        <v>0.8</v>
      </c>
      <c r="E86" s="14">
        <v>0.8</v>
      </c>
      <c r="F86" s="14">
        <v>0.9</v>
      </c>
      <c r="G86" s="285">
        <f t="shared" ref="G86:G87" si="17">C86*D86*E86*F86</f>
        <v>137.11858602917647</v>
      </c>
      <c r="H86" s="14">
        <v>1</v>
      </c>
      <c r="I86" s="14">
        <v>0.8</v>
      </c>
      <c r="J86" s="14">
        <v>0.9</v>
      </c>
      <c r="K86" s="289">
        <f t="shared" ref="K86:K87" si="18">C86*H86*I86*J86</f>
        <v>171.39823253647057</v>
      </c>
      <c r="L86" s="201">
        <f>'присмотр МДОО'!$J$21</f>
        <v>5.5782920310981545</v>
      </c>
      <c r="M86" s="221">
        <f>'присмотр МДОО'!$H$51</f>
        <v>4.5559523809523821</v>
      </c>
      <c r="N86" s="210">
        <f>'присмотр МДОО'!$J$70</f>
        <v>1.7443283662671418</v>
      </c>
      <c r="O86" s="14">
        <v>0</v>
      </c>
      <c r="P86" s="212">
        <f>'присмотр МДОО'!$C$78</f>
        <v>6.925204038440774</v>
      </c>
      <c r="Q86" s="308">
        <f t="shared" ref="Q86:Q87" si="19">L86+M86+N86+O86+P86</f>
        <v>18.803776816758454</v>
      </c>
      <c r="R86" s="287">
        <f t="shared" ref="R86:R87" si="20">G86+Q86</f>
        <v>155.92236284593491</v>
      </c>
      <c r="S86" s="289">
        <f t="shared" ref="S86:S87" si="21">K86+Q86</f>
        <v>190.20200935322902</v>
      </c>
      <c r="T86" s="15">
        <f t="shared" ref="T86:T87" si="22">77*1.057</f>
        <v>81.388999999999996</v>
      </c>
      <c r="U86" s="16">
        <f t="shared" ref="U86:U87" si="23">S86*1.057</f>
        <v>201.04352388636306</v>
      </c>
    </row>
    <row r="87" spans="1:21" ht="13.5" thickBot="1" x14ac:dyDescent="0.25">
      <c r="A87" s="48">
        <v>3</v>
      </c>
      <c r="B87" s="189" t="s">
        <v>75</v>
      </c>
      <c r="C87" s="280">
        <f>'от продуктов'!$I$36</f>
        <v>238.05310074509799</v>
      </c>
      <c r="D87" s="191">
        <v>0.8</v>
      </c>
      <c r="E87" s="18">
        <v>0.8</v>
      </c>
      <c r="F87" s="18">
        <v>0.9</v>
      </c>
      <c r="G87" s="300">
        <f t="shared" si="17"/>
        <v>137.11858602917647</v>
      </c>
      <c r="H87" s="18">
        <v>1</v>
      </c>
      <c r="I87" s="18">
        <v>0.8</v>
      </c>
      <c r="J87" s="18">
        <v>0.9</v>
      </c>
      <c r="K87" s="301">
        <f t="shared" si="18"/>
        <v>171.39823253647057</v>
      </c>
      <c r="L87" s="201">
        <f>'присмотр МДОО'!$J$21</f>
        <v>5.5782920310981545</v>
      </c>
      <c r="M87" s="221">
        <f>'присмотр МДОО'!$H$51</f>
        <v>4.5559523809523821</v>
      </c>
      <c r="N87" s="210">
        <f>'присмотр МДОО'!$J$70</f>
        <v>1.7443283662671418</v>
      </c>
      <c r="O87" s="17">
        <v>0</v>
      </c>
      <c r="P87" s="212">
        <f>'присмотр МДОО'!$C$78</f>
        <v>6.925204038440774</v>
      </c>
      <c r="Q87" s="309">
        <f t="shared" si="19"/>
        <v>18.803776816758454</v>
      </c>
      <c r="R87" s="303">
        <f t="shared" si="20"/>
        <v>155.92236284593491</v>
      </c>
      <c r="S87" s="301">
        <f t="shared" si="21"/>
        <v>190.20200935322902</v>
      </c>
      <c r="T87" s="19">
        <f t="shared" si="22"/>
        <v>81.388999999999996</v>
      </c>
      <c r="U87" s="20">
        <f t="shared" si="23"/>
        <v>201.04352388636306</v>
      </c>
    </row>
    <row r="90" spans="1:21" ht="15.75" x14ac:dyDescent="0.25">
      <c r="A90" s="392" t="s">
        <v>239</v>
      </c>
      <c r="B90" s="392"/>
      <c r="C90" s="392"/>
      <c r="D90" s="392"/>
      <c r="E90" s="392"/>
      <c r="F90" s="392"/>
      <c r="G90" s="392"/>
      <c r="H90" s="392"/>
      <c r="I90" s="392"/>
      <c r="J90" s="392"/>
      <c r="K90" s="392"/>
      <c r="L90" s="392"/>
      <c r="M90" s="392"/>
      <c r="N90" s="392"/>
      <c r="O90" s="392"/>
      <c r="P90" s="392"/>
      <c r="Q90" s="392"/>
      <c r="R90" s="392"/>
      <c r="S90" s="392"/>
    </row>
    <row r="91" spans="1:21" ht="13.5" thickBot="1" x14ac:dyDescent="0.25"/>
    <row r="92" spans="1:21" ht="56.25" customHeight="1" thickBot="1" x14ac:dyDescent="0.25">
      <c r="A92" s="393" t="s">
        <v>109</v>
      </c>
      <c r="B92" s="396" t="s">
        <v>110</v>
      </c>
      <c r="C92" s="393" t="s">
        <v>111</v>
      </c>
      <c r="D92" s="399"/>
      <c r="E92" s="399"/>
      <c r="F92" s="399"/>
      <c r="G92" s="399"/>
      <c r="H92" s="399"/>
      <c r="I92" s="399"/>
      <c r="J92" s="399"/>
      <c r="K92" s="400"/>
      <c r="L92" s="401" t="s">
        <v>112</v>
      </c>
      <c r="M92" s="402"/>
      <c r="N92" s="402"/>
      <c r="O92" s="402"/>
      <c r="P92" s="402"/>
      <c r="Q92" s="403"/>
      <c r="R92" s="404" t="s">
        <v>113</v>
      </c>
      <c r="S92" s="389"/>
      <c r="T92" s="388" t="s">
        <v>114</v>
      </c>
      <c r="U92" s="389"/>
    </row>
    <row r="93" spans="1:21" ht="63.75" customHeight="1" x14ac:dyDescent="0.2">
      <c r="A93" s="394"/>
      <c r="B93" s="397"/>
      <c r="C93" s="414" t="s">
        <v>115</v>
      </c>
      <c r="D93" s="417" t="s">
        <v>116</v>
      </c>
      <c r="E93" s="417"/>
      <c r="F93" s="417"/>
      <c r="G93" s="418" t="s">
        <v>117</v>
      </c>
      <c r="H93" s="417" t="s">
        <v>118</v>
      </c>
      <c r="I93" s="417"/>
      <c r="J93" s="417"/>
      <c r="K93" s="410" t="s">
        <v>119</v>
      </c>
      <c r="L93" s="420" t="s">
        <v>120</v>
      </c>
      <c r="M93" s="385" t="s">
        <v>121</v>
      </c>
      <c r="N93" s="385" t="s">
        <v>122</v>
      </c>
      <c r="O93" s="385" t="s">
        <v>123</v>
      </c>
      <c r="P93" s="406" t="s">
        <v>124</v>
      </c>
      <c r="Q93" s="409" t="s">
        <v>125</v>
      </c>
      <c r="R93" s="405"/>
      <c r="S93" s="391"/>
      <c r="T93" s="390"/>
      <c r="U93" s="391"/>
    </row>
    <row r="94" spans="1:21" x14ac:dyDescent="0.2">
      <c r="A94" s="394"/>
      <c r="B94" s="397"/>
      <c r="C94" s="415"/>
      <c r="D94" s="412" t="s">
        <v>126</v>
      </c>
      <c r="E94" s="412" t="s">
        <v>127</v>
      </c>
      <c r="F94" s="412" t="s">
        <v>128</v>
      </c>
      <c r="G94" s="418"/>
      <c r="H94" s="412" t="s">
        <v>126</v>
      </c>
      <c r="I94" s="412" t="s">
        <v>127</v>
      </c>
      <c r="J94" s="412" t="s">
        <v>128</v>
      </c>
      <c r="K94" s="410"/>
      <c r="L94" s="390"/>
      <c r="M94" s="386"/>
      <c r="N94" s="386"/>
      <c r="O94" s="386"/>
      <c r="P94" s="407"/>
      <c r="Q94" s="410"/>
      <c r="R94" s="405"/>
      <c r="S94" s="391"/>
      <c r="T94" s="390"/>
      <c r="U94" s="391"/>
    </row>
    <row r="95" spans="1:21" ht="41.25" customHeight="1" thickBot="1" x14ac:dyDescent="0.25">
      <c r="A95" s="395"/>
      <c r="B95" s="398"/>
      <c r="C95" s="416"/>
      <c r="D95" s="413"/>
      <c r="E95" s="413"/>
      <c r="F95" s="413"/>
      <c r="G95" s="419"/>
      <c r="H95" s="413"/>
      <c r="I95" s="413"/>
      <c r="J95" s="413"/>
      <c r="K95" s="411"/>
      <c r="L95" s="421"/>
      <c r="M95" s="387"/>
      <c r="N95" s="387"/>
      <c r="O95" s="387"/>
      <c r="P95" s="408"/>
      <c r="Q95" s="411"/>
      <c r="R95" s="21" t="s">
        <v>116</v>
      </c>
      <c r="S95" s="28" t="s">
        <v>129</v>
      </c>
      <c r="T95" s="22" t="s">
        <v>116</v>
      </c>
      <c r="U95" s="23" t="s">
        <v>129</v>
      </c>
    </row>
    <row r="96" spans="1:21" ht="13.5" thickBot="1" x14ac:dyDescent="0.25">
      <c r="A96" s="38">
        <v>1</v>
      </c>
      <c r="B96" s="30" t="s">
        <v>70</v>
      </c>
      <c r="C96" s="280">
        <f>'от продуктов'!$I$36</f>
        <v>238.05310074509799</v>
      </c>
      <c r="D96" s="31">
        <v>0.8</v>
      </c>
      <c r="E96" s="31">
        <v>0.9</v>
      </c>
      <c r="F96" s="31">
        <v>0.9</v>
      </c>
      <c r="G96" s="295">
        <f t="shared" ref="G96" si="24">C96*D96*E96*F96</f>
        <v>154.25840928282352</v>
      </c>
      <c r="H96" s="31">
        <v>1</v>
      </c>
      <c r="I96" s="31">
        <v>0.9</v>
      </c>
      <c r="J96" s="31">
        <v>0.9</v>
      </c>
      <c r="K96" s="297">
        <f t="shared" ref="K96" si="25">C96*H96*I96*J96</f>
        <v>192.82301160352938</v>
      </c>
      <c r="L96" s="201">
        <f>'присмотр МДОО'!$J$21</f>
        <v>5.5782920310981545</v>
      </c>
      <c r="M96" s="31">
        <v>1</v>
      </c>
      <c r="N96" s="210">
        <f>'присмотр МДОО'!$J$70</f>
        <v>1.7443283662671418</v>
      </c>
      <c r="O96" s="221">
        <f>'присмотр МДОО'!$H$57</f>
        <v>7.7049183673469406</v>
      </c>
      <c r="P96" s="212">
        <f>'присмотр МДОО'!$C$78</f>
        <v>6.925204038440774</v>
      </c>
      <c r="Q96" s="298">
        <f t="shared" ref="Q96" si="26">L96+M96+N96+O96+P96</f>
        <v>22.952742803153011</v>
      </c>
      <c r="R96" s="299">
        <f>G96+Q96</f>
        <v>177.21115208597652</v>
      </c>
      <c r="S96" s="298">
        <f>K96+Q96</f>
        <v>215.77575440668238</v>
      </c>
      <c r="T96" s="26">
        <f>R96*1.057</f>
        <v>187.31218775487719</v>
      </c>
      <c r="U96" s="27">
        <f>S96*1.057</f>
        <v>228.07497240786327</v>
      </c>
    </row>
    <row r="97" spans="1:21" ht="13.5" thickBot="1" x14ac:dyDescent="0.25">
      <c r="A97" s="48">
        <v>2</v>
      </c>
      <c r="B97" s="49" t="s">
        <v>67</v>
      </c>
      <c r="C97" s="280">
        <f>'от продуктов'!$I$36</f>
        <v>238.05310074509799</v>
      </c>
      <c r="D97" s="18">
        <v>0.8</v>
      </c>
      <c r="E97" s="18">
        <v>0.9</v>
      </c>
      <c r="F97" s="18">
        <v>0.9</v>
      </c>
      <c r="G97" s="300">
        <f>C97*D97*E97*F97</f>
        <v>154.25840928282352</v>
      </c>
      <c r="H97" s="18">
        <v>1</v>
      </c>
      <c r="I97" s="18">
        <v>0.9</v>
      </c>
      <c r="J97" s="18">
        <v>0.9</v>
      </c>
      <c r="K97" s="301">
        <f>C97*H97*I97*J97</f>
        <v>192.82301160352938</v>
      </c>
      <c r="L97" s="201">
        <f>'присмотр МДОО'!$J$21</f>
        <v>5.5782920310981545</v>
      </c>
      <c r="M97" s="18">
        <v>1</v>
      </c>
      <c r="N97" s="210">
        <f>'присмотр МДОО'!$J$70</f>
        <v>1.7443283662671418</v>
      </c>
      <c r="O97" s="221">
        <f>'присмотр МДОО'!$H$57</f>
        <v>7.7049183673469406</v>
      </c>
      <c r="P97" s="212">
        <f>'присмотр МДОО'!$C$78</f>
        <v>6.925204038440774</v>
      </c>
      <c r="Q97" s="309">
        <f>L97+M97+N97+O97+P97</f>
        <v>22.952742803153011</v>
      </c>
      <c r="R97" s="303">
        <f>G97+Q97</f>
        <v>177.21115208597652</v>
      </c>
      <c r="S97" s="301">
        <f>K97+Q97</f>
        <v>215.77575440668238</v>
      </c>
      <c r="T97" s="267"/>
      <c r="U97" s="268"/>
    </row>
    <row r="98" spans="1:21" ht="13.5" thickBot="1" x14ac:dyDescent="0.25">
      <c r="A98" s="48">
        <v>3</v>
      </c>
      <c r="B98" s="269" t="s">
        <v>66</v>
      </c>
      <c r="C98" s="280">
        <f>'от продуктов'!$I$36</f>
        <v>238.05310074509799</v>
      </c>
      <c r="D98" s="18">
        <v>0.8</v>
      </c>
      <c r="E98" s="18">
        <v>0.9</v>
      </c>
      <c r="F98" s="18">
        <v>0.9</v>
      </c>
      <c r="G98" s="300">
        <f>C98*D98*E98*F98</f>
        <v>154.25840928282352</v>
      </c>
      <c r="H98" s="18">
        <v>1</v>
      </c>
      <c r="I98" s="18">
        <v>0.9</v>
      </c>
      <c r="J98" s="18">
        <v>0.9</v>
      </c>
      <c r="K98" s="301">
        <f>C98*H98*I98*J98</f>
        <v>192.82301160352938</v>
      </c>
      <c r="L98" s="201">
        <f>'присмотр МДОО'!$J$21</f>
        <v>5.5782920310981545</v>
      </c>
      <c r="M98" s="18">
        <v>1</v>
      </c>
      <c r="N98" s="210">
        <f>'присмотр МДОО'!$J$70</f>
        <v>1.7443283662671418</v>
      </c>
      <c r="O98" s="221">
        <f>'присмотр МДОО'!$H$57</f>
        <v>7.7049183673469406</v>
      </c>
      <c r="P98" s="212">
        <f>'присмотр МДОО'!$C$78</f>
        <v>6.925204038440774</v>
      </c>
      <c r="Q98" s="309">
        <f>L98+M98+N98+O98+P98</f>
        <v>22.952742803153011</v>
      </c>
      <c r="R98" s="303">
        <f>G98+Q98</f>
        <v>177.21115208597652</v>
      </c>
      <c r="S98" s="301">
        <f>K98+Q98</f>
        <v>215.77575440668238</v>
      </c>
      <c r="T98" s="19">
        <f>81*1.057</f>
        <v>85.61699999999999</v>
      </c>
      <c r="U98" s="20">
        <f>98*1.057</f>
        <v>103.586</v>
      </c>
    </row>
    <row r="101" spans="1:21" ht="18.75" customHeight="1" x14ac:dyDescent="0.2"/>
    <row r="103" spans="1:21" ht="12.75" customHeight="1" x14ac:dyDescent="0.2"/>
    <row r="104" spans="1:21" ht="12.75" customHeight="1" x14ac:dyDescent="0.2"/>
    <row r="105" spans="1:21" ht="12.75" customHeight="1" x14ac:dyDescent="0.2"/>
  </sheetData>
  <mergeCells count="199">
    <mergeCell ref="A1:S1"/>
    <mergeCell ref="B2:O2"/>
    <mergeCell ref="B3:O3"/>
    <mergeCell ref="B4:O4"/>
    <mergeCell ref="B5:O5"/>
    <mergeCell ref="B6:U6"/>
    <mergeCell ref="B7:U7"/>
    <mergeCell ref="A9:S9"/>
    <mergeCell ref="A11:A14"/>
    <mergeCell ref="B11:B14"/>
    <mergeCell ref="C11:K11"/>
    <mergeCell ref="L11:Q11"/>
    <mergeCell ref="R11:S13"/>
    <mergeCell ref="T11:U13"/>
    <mergeCell ref="C12:C14"/>
    <mergeCell ref="D12:F12"/>
    <mergeCell ref="O12:O14"/>
    <mergeCell ref="P12:P14"/>
    <mergeCell ref="Q12:Q14"/>
    <mergeCell ref="D13:D14"/>
    <mergeCell ref="E13:E14"/>
    <mergeCell ref="F13:F14"/>
    <mergeCell ref="H13:H14"/>
    <mergeCell ref="I13:I14"/>
    <mergeCell ref="J13:J14"/>
    <mergeCell ref="G12:G14"/>
    <mergeCell ref="H12:J12"/>
    <mergeCell ref="K12:K14"/>
    <mergeCell ref="L12:L14"/>
    <mergeCell ref="M12:M14"/>
    <mergeCell ref="N12:N14"/>
    <mergeCell ref="A23:S23"/>
    <mergeCell ref="A25:A28"/>
    <mergeCell ref="B25:B28"/>
    <mergeCell ref="C25:K25"/>
    <mergeCell ref="L25:Q25"/>
    <mergeCell ref="R25:S27"/>
    <mergeCell ref="P26:P28"/>
    <mergeCell ref="Q26:Q28"/>
    <mergeCell ref="D27:D28"/>
    <mergeCell ref="E27:E28"/>
    <mergeCell ref="T25:U27"/>
    <mergeCell ref="C26:C28"/>
    <mergeCell ref="D26:F26"/>
    <mergeCell ref="G26:G28"/>
    <mergeCell ref="H26:J26"/>
    <mergeCell ref="K26:K28"/>
    <mergeCell ref="L26:L28"/>
    <mergeCell ref="M26:M28"/>
    <mergeCell ref="N26:N28"/>
    <mergeCell ref="O26:O28"/>
    <mergeCell ref="F27:F28"/>
    <mergeCell ref="H27:H28"/>
    <mergeCell ref="I27:I28"/>
    <mergeCell ref="J27:J28"/>
    <mergeCell ref="I55:I56"/>
    <mergeCell ref="A42:S42"/>
    <mergeCell ref="A44:A47"/>
    <mergeCell ref="B44:B47"/>
    <mergeCell ref="C44:K44"/>
    <mergeCell ref="L44:Q44"/>
    <mergeCell ref="R44:S46"/>
    <mergeCell ref="C45:C47"/>
    <mergeCell ref="D45:F45"/>
    <mergeCell ref="G45:G47"/>
    <mergeCell ref="H45:J45"/>
    <mergeCell ref="K45:K47"/>
    <mergeCell ref="L45:L47"/>
    <mergeCell ref="M45:M47"/>
    <mergeCell ref="N45:N47"/>
    <mergeCell ref="O45:O47"/>
    <mergeCell ref="P45:P47"/>
    <mergeCell ref="Q45:Q47"/>
    <mergeCell ref="D46:D47"/>
    <mergeCell ref="E46:E47"/>
    <mergeCell ref="F46:F47"/>
    <mergeCell ref="H46:H47"/>
    <mergeCell ref="I46:I47"/>
    <mergeCell ref="J46:J47"/>
    <mergeCell ref="J65:J66"/>
    <mergeCell ref="T44:U46"/>
    <mergeCell ref="A51:S51"/>
    <mergeCell ref="A53:A56"/>
    <mergeCell ref="B53:B56"/>
    <mergeCell ref="C53:K53"/>
    <mergeCell ref="L53:Q53"/>
    <mergeCell ref="R53:S55"/>
    <mergeCell ref="P54:P56"/>
    <mergeCell ref="Q54:Q56"/>
    <mergeCell ref="D55:D56"/>
    <mergeCell ref="E55:E56"/>
    <mergeCell ref="T53:U55"/>
    <mergeCell ref="C54:C56"/>
    <mergeCell ref="D54:F54"/>
    <mergeCell ref="G54:G56"/>
    <mergeCell ref="H54:J54"/>
    <mergeCell ref="K54:K56"/>
    <mergeCell ref="L54:L56"/>
    <mergeCell ref="M54:M56"/>
    <mergeCell ref="N54:N56"/>
    <mergeCell ref="O54:O56"/>
    <mergeCell ref="F55:F56"/>
    <mergeCell ref="H55:H56"/>
    <mergeCell ref="I74:I75"/>
    <mergeCell ref="J55:J56"/>
    <mergeCell ref="A61:S61"/>
    <mergeCell ref="A63:A66"/>
    <mergeCell ref="B63:B66"/>
    <mergeCell ref="C63:K63"/>
    <mergeCell ref="L63:Q63"/>
    <mergeCell ref="R63:S65"/>
    <mergeCell ref="C64:C66"/>
    <mergeCell ref="D64:F64"/>
    <mergeCell ref="G64:G66"/>
    <mergeCell ref="H64:J64"/>
    <mergeCell ref="K64:K66"/>
    <mergeCell ref="L64:L66"/>
    <mergeCell ref="M64:M66"/>
    <mergeCell ref="N64:N66"/>
    <mergeCell ref="O64:O66"/>
    <mergeCell ref="P64:P66"/>
    <mergeCell ref="Q64:Q66"/>
    <mergeCell ref="D65:D66"/>
    <mergeCell ref="E65:E66"/>
    <mergeCell ref="F65:F66"/>
    <mergeCell ref="H65:H66"/>
    <mergeCell ref="I65:I66"/>
    <mergeCell ref="J83:J84"/>
    <mergeCell ref="T63:U65"/>
    <mergeCell ref="A70:S70"/>
    <mergeCell ref="A72:A75"/>
    <mergeCell ref="B72:B75"/>
    <mergeCell ref="C72:K72"/>
    <mergeCell ref="L72:Q72"/>
    <mergeCell ref="R72:S74"/>
    <mergeCell ref="P73:P75"/>
    <mergeCell ref="Q73:Q75"/>
    <mergeCell ref="D74:D75"/>
    <mergeCell ref="E74:E75"/>
    <mergeCell ref="T72:U74"/>
    <mergeCell ref="C73:C75"/>
    <mergeCell ref="D73:F73"/>
    <mergeCell ref="G73:G75"/>
    <mergeCell ref="H73:J73"/>
    <mergeCell ref="K73:K75"/>
    <mergeCell ref="L73:L75"/>
    <mergeCell ref="M73:M75"/>
    <mergeCell ref="N73:N75"/>
    <mergeCell ref="O73:O75"/>
    <mergeCell ref="F74:F75"/>
    <mergeCell ref="H74:H75"/>
    <mergeCell ref="N93:N95"/>
    <mergeCell ref="J74:J75"/>
    <mergeCell ref="A79:S79"/>
    <mergeCell ref="A81:A84"/>
    <mergeCell ref="B81:B84"/>
    <mergeCell ref="C81:K81"/>
    <mergeCell ref="L81:Q81"/>
    <mergeCell ref="R81:S83"/>
    <mergeCell ref="C82:C84"/>
    <mergeCell ref="D82:F82"/>
    <mergeCell ref="G82:G84"/>
    <mergeCell ref="H82:J82"/>
    <mergeCell ref="K82:K84"/>
    <mergeCell ref="L82:L84"/>
    <mergeCell ref="M82:M84"/>
    <mergeCell ref="N82:N84"/>
    <mergeCell ref="O82:O84"/>
    <mergeCell ref="P82:P84"/>
    <mergeCell ref="Q82:Q84"/>
    <mergeCell ref="D83:D84"/>
    <mergeCell ref="E83:E84"/>
    <mergeCell ref="F83:F84"/>
    <mergeCell ref="H83:H84"/>
    <mergeCell ref="I83:I84"/>
    <mergeCell ref="O93:O95"/>
    <mergeCell ref="T81:U83"/>
    <mergeCell ref="A90:S90"/>
    <mergeCell ref="A92:A95"/>
    <mergeCell ref="B92:B95"/>
    <mergeCell ref="C92:K92"/>
    <mergeCell ref="L92:Q92"/>
    <mergeCell ref="R92:S94"/>
    <mergeCell ref="P93:P95"/>
    <mergeCell ref="Q93:Q95"/>
    <mergeCell ref="D94:D95"/>
    <mergeCell ref="E94:E95"/>
    <mergeCell ref="F94:F95"/>
    <mergeCell ref="H94:H95"/>
    <mergeCell ref="I94:I95"/>
    <mergeCell ref="J94:J95"/>
    <mergeCell ref="T92:U94"/>
    <mergeCell ref="C93:C95"/>
    <mergeCell ref="D93:F93"/>
    <mergeCell ref="G93:G95"/>
    <mergeCell ref="H93:J93"/>
    <mergeCell ref="K93:K95"/>
    <mergeCell ref="L93:L95"/>
    <mergeCell ref="M93:M95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  <rowBreaks count="2" manualBreakCount="2">
    <brk id="39" max="16383" man="1"/>
    <brk id="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view="pageBreakPreview" zoomScale="80" zoomScaleNormal="100" zoomScaleSheetLayoutView="80" workbookViewId="0">
      <pane xSplit="2" ySplit="3" topLeftCell="C61" activePane="bottomRight" state="frozen"/>
      <selection pane="topRight" activeCell="C1" sqref="C1"/>
      <selection pane="bottomLeft" activeCell="A5" sqref="A5"/>
      <selection pane="bottomRight" activeCell="C87" sqref="C87"/>
    </sheetView>
  </sheetViews>
  <sheetFormatPr defaultColWidth="8.85546875" defaultRowHeight="12.75" x14ac:dyDescent="0.25"/>
  <cols>
    <col min="1" max="1" width="5.140625" style="53" customWidth="1"/>
    <col min="2" max="2" width="33.42578125" style="53" customWidth="1"/>
    <col min="3" max="3" width="8.7109375" style="53" customWidth="1"/>
    <col min="4" max="4" width="10.85546875" style="53" bestFit="1" customWidth="1"/>
    <col min="5" max="5" width="12.7109375" style="53" bestFit="1" customWidth="1"/>
    <col min="6" max="6" width="11.28515625" style="53" bestFit="1" customWidth="1"/>
    <col min="7" max="8" width="11.28515625" style="53" customWidth="1"/>
    <col min="9" max="9" width="15.28515625" style="53" bestFit="1" customWidth="1"/>
    <col min="10" max="10" width="11.42578125" style="53" bestFit="1" customWidth="1"/>
    <col min="11" max="11" width="14.42578125" style="53" bestFit="1" customWidth="1"/>
    <col min="12" max="12" width="11" style="53" bestFit="1" customWidth="1"/>
    <col min="13" max="13" width="10.85546875" style="53" bestFit="1" customWidth="1"/>
    <col min="14" max="14" width="9.140625" style="53"/>
    <col min="15" max="15" width="33.5703125" style="53" customWidth="1"/>
    <col min="16" max="16" width="14.7109375" style="53" customWidth="1"/>
    <col min="17" max="17" width="15" style="53" customWidth="1"/>
    <col min="18" max="16384" width="8.85546875" style="53"/>
  </cols>
  <sheetData>
    <row r="1" spans="1:13" ht="13.5" customHeight="1" x14ac:dyDescent="0.25">
      <c r="A1" s="454" t="s">
        <v>136</v>
      </c>
      <c r="B1" s="454"/>
      <c r="C1" s="454"/>
      <c r="D1" s="454"/>
      <c r="E1" s="454"/>
      <c r="F1" s="454"/>
      <c r="G1" s="454"/>
      <c r="H1" s="454"/>
      <c r="I1" s="454"/>
      <c r="J1" s="454"/>
      <c r="K1" s="52"/>
    </row>
    <row r="2" spans="1:13" ht="13.5" customHeight="1" thickBo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3" ht="51.75" customHeight="1" x14ac:dyDescent="0.25">
      <c r="A3" s="55" t="s">
        <v>137</v>
      </c>
      <c r="B3" s="56" t="s">
        <v>138</v>
      </c>
      <c r="C3" s="56" t="s">
        <v>139</v>
      </c>
      <c r="D3" s="56" t="s">
        <v>140</v>
      </c>
      <c r="E3" s="56" t="s">
        <v>141</v>
      </c>
      <c r="F3" s="56" t="s">
        <v>142</v>
      </c>
      <c r="G3" s="56" t="s">
        <v>143</v>
      </c>
      <c r="H3" s="56" t="s">
        <v>144</v>
      </c>
      <c r="I3" s="56" t="s">
        <v>145</v>
      </c>
      <c r="J3" s="57" t="s">
        <v>146</v>
      </c>
      <c r="K3" s="58"/>
      <c r="L3" s="58"/>
      <c r="M3" s="58"/>
    </row>
    <row r="4" spans="1:13" ht="15.75" customHeight="1" x14ac:dyDescent="0.25">
      <c r="A4" s="458" t="s">
        <v>147</v>
      </c>
      <c r="B4" s="459"/>
      <c r="C4" s="459"/>
      <c r="D4" s="459"/>
      <c r="E4" s="459"/>
      <c r="F4" s="459"/>
      <c r="G4" s="459"/>
      <c r="H4" s="459"/>
      <c r="I4" s="459"/>
      <c r="J4" s="460"/>
      <c r="K4" s="52"/>
      <c r="L4" s="59"/>
      <c r="M4" s="59"/>
    </row>
    <row r="5" spans="1:13" x14ac:dyDescent="0.25">
      <c r="A5" s="60">
        <v>1</v>
      </c>
      <c r="B5" s="61" t="s">
        <v>148</v>
      </c>
      <c r="C5" s="62" t="s">
        <v>97</v>
      </c>
      <c r="D5" s="63">
        <v>2</v>
      </c>
      <c r="E5" s="63">
        <v>1</v>
      </c>
      <c r="F5" s="63">
        <v>2</v>
      </c>
      <c r="G5" s="64">
        <f>F5/12</f>
        <v>0.16666666666666666</v>
      </c>
      <c r="H5" s="65">
        <f>G5/20.58</f>
        <v>8.0984774862325887E-3</v>
      </c>
      <c r="I5" s="270">
        <f>(79+89)/2</f>
        <v>84</v>
      </c>
      <c r="J5" s="66">
        <f>H5*I5</f>
        <v>0.6802721088435375</v>
      </c>
      <c r="K5" s="59"/>
      <c r="L5" s="59"/>
      <c r="M5" s="59"/>
    </row>
    <row r="6" spans="1:13" x14ac:dyDescent="0.25">
      <c r="A6" s="461">
        <v>2</v>
      </c>
      <c r="B6" s="61" t="s">
        <v>149</v>
      </c>
      <c r="C6" s="464" t="s">
        <v>97</v>
      </c>
      <c r="D6" s="467">
        <v>2</v>
      </c>
      <c r="E6" s="467">
        <v>3</v>
      </c>
      <c r="F6" s="467">
        <v>0.7</v>
      </c>
      <c r="G6" s="470">
        <f>F6/12</f>
        <v>5.8333333333333327E-2</v>
      </c>
      <c r="H6" s="473">
        <f>G6/20.58</f>
        <v>2.8344671201814059E-3</v>
      </c>
      <c r="I6" s="479">
        <v>687.6</v>
      </c>
      <c r="J6" s="476">
        <f>I6*H6</f>
        <v>1.9489795918367347</v>
      </c>
      <c r="K6" s="449"/>
      <c r="L6" s="67"/>
      <c r="M6" s="67"/>
    </row>
    <row r="7" spans="1:13" x14ac:dyDescent="0.25">
      <c r="A7" s="462"/>
      <c r="B7" s="61" t="s">
        <v>150</v>
      </c>
      <c r="C7" s="465"/>
      <c r="D7" s="468"/>
      <c r="E7" s="468"/>
      <c r="F7" s="468"/>
      <c r="G7" s="471"/>
      <c r="H7" s="474"/>
      <c r="I7" s="480"/>
      <c r="J7" s="477"/>
      <c r="K7" s="449"/>
      <c r="L7" s="67"/>
      <c r="M7" s="67"/>
    </row>
    <row r="8" spans="1:13" x14ac:dyDescent="0.25">
      <c r="A8" s="463"/>
      <c r="B8" s="61" t="s">
        <v>151</v>
      </c>
      <c r="C8" s="466"/>
      <c r="D8" s="469"/>
      <c r="E8" s="469"/>
      <c r="F8" s="469"/>
      <c r="G8" s="472"/>
      <c r="H8" s="475"/>
      <c r="I8" s="481"/>
      <c r="J8" s="478"/>
      <c r="K8" s="449"/>
      <c r="L8" s="67"/>
      <c r="M8" s="67"/>
    </row>
    <row r="9" spans="1:13" x14ac:dyDescent="0.25">
      <c r="A9" s="60">
        <v>3</v>
      </c>
      <c r="B9" s="61" t="s">
        <v>152</v>
      </c>
      <c r="C9" s="62" t="s">
        <v>97</v>
      </c>
      <c r="D9" s="63">
        <v>1</v>
      </c>
      <c r="E9" s="63">
        <v>10</v>
      </c>
      <c r="F9" s="63">
        <v>0.1</v>
      </c>
      <c r="G9" s="64">
        <f>F9/12</f>
        <v>8.3333333333333332E-3</v>
      </c>
      <c r="H9" s="65">
        <f>G9/20.58</f>
        <v>4.0492387431162946E-4</v>
      </c>
      <c r="I9" s="270">
        <v>427</v>
      </c>
      <c r="J9" s="66">
        <f>H9*I9</f>
        <v>0.17290249433106578</v>
      </c>
      <c r="K9" s="59"/>
      <c r="L9" s="67"/>
      <c r="M9" s="67"/>
    </row>
    <row r="10" spans="1:13" ht="18.75" customHeight="1" x14ac:dyDescent="0.25">
      <c r="A10" s="60">
        <v>4</v>
      </c>
      <c r="B10" s="61" t="s">
        <v>153</v>
      </c>
      <c r="C10" s="62" t="s">
        <v>97</v>
      </c>
      <c r="D10" s="63">
        <v>1</v>
      </c>
      <c r="E10" s="63">
        <v>5</v>
      </c>
      <c r="F10" s="63">
        <v>0.2</v>
      </c>
      <c r="G10" s="64">
        <f t="shared" ref="G10:G12" si="0">F10/12</f>
        <v>1.6666666666666666E-2</v>
      </c>
      <c r="H10" s="65">
        <f>G10/20.58</f>
        <v>8.0984774862325891E-4</v>
      </c>
      <c r="I10" s="270">
        <v>1064</v>
      </c>
      <c r="J10" s="66">
        <f t="shared" ref="J10:J12" si="1">H10*I10</f>
        <v>0.86167800453514753</v>
      </c>
      <c r="K10" s="59"/>
      <c r="L10" s="67"/>
      <c r="M10" s="67"/>
    </row>
    <row r="11" spans="1:13" x14ac:dyDescent="0.25">
      <c r="A11" s="60">
        <v>5</v>
      </c>
      <c r="B11" s="61" t="s">
        <v>154</v>
      </c>
      <c r="C11" s="62" t="s">
        <v>97</v>
      </c>
      <c r="D11" s="63">
        <v>1</v>
      </c>
      <c r="E11" s="63">
        <v>5</v>
      </c>
      <c r="F11" s="63">
        <v>0.2</v>
      </c>
      <c r="G11" s="64">
        <f t="shared" si="0"/>
        <v>1.6666666666666666E-2</v>
      </c>
      <c r="H11" s="65">
        <f>G11/20.58</f>
        <v>8.0984774862325891E-4</v>
      </c>
      <c r="I11" s="270">
        <v>910</v>
      </c>
      <c r="J11" s="66">
        <f t="shared" si="1"/>
        <v>0.73696145124716561</v>
      </c>
      <c r="K11" s="59"/>
      <c r="L11" s="67"/>
      <c r="M11" s="67"/>
    </row>
    <row r="12" spans="1:13" x14ac:dyDescent="0.25">
      <c r="A12" s="60">
        <v>6</v>
      </c>
      <c r="B12" s="61" t="s">
        <v>155</v>
      </c>
      <c r="C12" s="62" t="s">
        <v>97</v>
      </c>
      <c r="D12" s="63">
        <v>1</v>
      </c>
      <c r="E12" s="63">
        <v>5</v>
      </c>
      <c r="F12" s="63">
        <v>0.2</v>
      </c>
      <c r="G12" s="64">
        <f t="shared" si="0"/>
        <v>1.6666666666666666E-2</v>
      </c>
      <c r="H12" s="65">
        <f>G12/20.58</f>
        <v>8.0984774862325891E-4</v>
      </c>
      <c r="I12" s="270">
        <v>756</v>
      </c>
      <c r="J12" s="66">
        <f t="shared" si="1"/>
        <v>0.61224489795918369</v>
      </c>
      <c r="K12" s="59"/>
      <c r="L12" s="67"/>
      <c r="M12" s="67"/>
    </row>
    <row r="13" spans="1:13" x14ac:dyDescent="0.25">
      <c r="A13" s="447" t="s">
        <v>156</v>
      </c>
      <c r="B13" s="448"/>
      <c r="C13" s="61"/>
      <c r="D13" s="61"/>
      <c r="E13" s="61"/>
      <c r="F13" s="61"/>
      <c r="G13" s="61"/>
      <c r="H13" s="61"/>
      <c r="I13" s="61"/>
      <c r="J13" s="132">
        <f>SUM(J5:J12)</f>
        <v>5.0130385487528351</v>
      </c>
      <c r="K13" s="68"/>
      <c r="L13" s="67"/>
      <c r="M13" s="67"/>
    </row>
    <row r="14" spans="1:13" ht="42" x14ac:dyDescent="0.25">
      <c r="A14" s="69" t="s">
        <v>137</v>
      </c>
      <c r="B14" s="70" t="s">
        <v>138</v>
      </c>
      <c r="C14" s="70" t="s">
        <v>139</v>
      </c>
      <c r="D14" s="70" t="s">
        <v>140</v>
      </c>
      <c r="E14" s="70" t="s">
        <v>141</v>
      </c>
      <c r="F14" s="70" t="s">
        <v>142</v>
      </c>
      <c r="G14" s="70" t="s">
        <v>143</v>
      </c>
      <c r="H14" s="70" t="s">
        <v>157</v>
      </c>
      <c r="I14" s="70" t="s">
        <v>145</v>
      </c>
      <c r="J14" s="71" t="s">
        <v>146</v>
      </c>
      <c r="K14" s="58"/>
      <c r="L14" s="67"/>
      <c r="M14" s="67"/>
    </row>
    <row r="15" spans="1:13" ht="15.75" customHeight="1" x14ac:dyDescent="0.25">
      <c r="A15" s="455" t="s">
        <v>158</v>
      </c>
      <c r="B15" s="456"/>
      <c r="C15" s="456"/>
      <c r="D15" s="456"/>
      <c r="E15" s="456"/>
      <c r="F15" s="456"/>
      <c r="G15" s="456"/>
      <c r="H15" s="456"/>
      <c r="I15" s="456"/>
      <c r="J15" s="457"/>
      <c r="K15" s="72"/>
      <c r="L15" s="67"/>
      <c r="M15" s="67"/>
    </row>
    <row r="16" spans="1:13" s="80" customFormat="1" x14ac:dyDescent="0.2">
      <c r="A16" s="60">
        <v>1</v>
      </c>
      <c r="B16" s="73" t="s">
        <v>159</v>
      </c>
      <c r="C16" s="74" t="s">
        <v>97</v>
      </c>
      <c r="D16" s="75">
        <v>40</v>
      </c>
      <c r="E16" s="75">
        <v>3</v>
      </c>
      <c r="F16" s="74">
        <v>13.3</v>
      </c>
      <c r="G16" s="76">
        <f>F16/12</f>
        <v>1.1083333333333334</v>
      </c>
      <c r="H16" s="77">
        <f>G16/20.58/100</f>
        <v>5.385487528344672E-4</v>
      </c>
      <c r="I16" s="271">
        <v>99</v>
      </c>
      <c r="J16" s="66">
        <f>H16*I16</f>
        <v>5.3316326530612253E-2</v>
      </c>
      <c r="K16" s="78"/>
      <c r="L16" s="79"/>
      <c r="M16" s="79"/>
    </row>
    <row r="17" spans="1:13" s="80" customFormat="1" x14ac:dyDescent="0.2">
      <c r="A17" s="60">
        <v>2</v>
      </c>
      <c r="B17" s="81" t="s">
        <v>160</v>
      </c>
      <c r="C17" s="74" t="s">
        <v>97</v>
      </c>
      <c r="D17" s="75">
        <v>20</v>
      </c>
      <c r="E17" s="75">
        <v>1</v>
      </c>
      <c r="F17" s="74">
        <v>20</v>
      </c>
      <c r="G17" s="76">
        <f t="shared" ref="G17:G19" si="2">F17/12</f>
        <v>1.6666666666666667</v>
      </c>
      <c r="H17" s="77">
        <f>G17/20.58/100</f>
        <v>8.0984774862325891E-4</v>
      </c>
      <c r="I17" s="271">
        <v>89</v>
      </c>
      <c r="J17" s="66">
        <f t="shared" ref="J17:J19" si="3">H17*I17</f>
        <v>7.2076449627470049E-2</v>
      </c>
      <c r="K17" s="78"/>
      <c r="L17" s="79"/>
      <c r="M17" s="79"/>
    </row>
    <row r="18" spans="1:13" s="80" customFormat="1" x14ac:dyDescent="0.2">
      <c r="A18" s="60">
        <v>3</v>
      </c>
      <c r="B18" s="81" t="s">
        <v>161</v>
      </c>
      <c r="C18" s="74" t="s">
        <v>162</v>
      </c>
      <c r="D18" s="75">
        <v>30</v>
      </c>
      <c r="E18" s="75">
        <v>5</v>
      </c>
      <c r="F18" s="74">
        <v>6</v>
      </c>
      <c r="G18" s="76">
        <f t="shared" si="2"/>
        <v>0.5</v>
      </c>
      <c r="H18" s="77">
        <f>G18/20.58/100</f>
        <v>2.4295432458697766E-4</v>
      </c>
      <c r="I18" s="271">
        <v>33.4</v>
      </c>
      <c r="J18" s="66">
        <f>H18*I18</f>
        <v>8.1146744412050539E-3</v>
      </c>
      <c r="K18" s="78"/>
      <c r="L18" s="79"/>
      <c r="M18" s="79"/>
    </row>
    <row r="19" spans="1:13" s="80" customFormat="1" ht="28.5" customHeight="1" x14ac:dyDescent="0.2">
      <c r="A19" s="60">
        <v>4</v>
      </c>
      <c r="B19" s="81" t="s">
        <v>163</v>
      </c>
      <c r="C19" s="82" t="s">
        <v>162</v>
      </c>
      <c r="D19" s="83">
        <v>250</v>
      </c>
      <c r="E19" s="83">
        <v>3</v>
      </c>
      <c r="F19" s="82">
        <v>83.3</v>
      </c>
      <c r="G19" s="124">
        <f t="shared" si="2"/>
        <v>6.9416666666666664</v>
      </c>
      <c r="H19" s="125">
        <f>G19/20.58/100</f>
        <v>3.3730158730158732E-3</v>
      </c>
      <c r="I19" s="272">
        <v>128</v>
      </c>
      <c r="J19" s="66">
        <f t="shared" si="3"/>
        <v>0.43174603174603177</v>
      </c>
      <c r="K19" s="78"/>
      <c r="L19" s="79"/>
      <c r="M19" s="79"/>
    </row>
    <row r="20" spans="1:13" s="80" customFormat="1" x14ac:dyDescent="0.2">
      <c r="A20" s="447" t="s">
        <v>156</v>
      </c>
      <c r="B20" s="448"/>
      <c r="C20" s="84"/>
      <c r="D20" s="84"/>
      <c r="E20" s="84"/>
      <c r="F20" s="84"/>
      <c r="G20" s="84"/>
      <c r="H20" s="84"/>
      <c r="I20" s="84"/>
      <c r="J20" s="85">
        <f>SUM(J16:J19)</f>
        <v>0.56525348234531914</v>
      </c>
      <c r="K20" s="86"/>
      <c r="L20" s="79"/>
      <c r="M20" s="79"/>
    </row>
    <row r="21" spans="1:13" s="90" customFormat="1" ht="15" thickBot="1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131">
        <f>J13+J20</f>
        <v>5.5782920310981545</v>
      </c>
      <c r="K21" s="58"/>
      <c r="L21" s="89"/>
      <c r="M21" s="89"/>
    </row>
    <row r="22" spans="1:13" s="90" customFormat="1" x14ac:dyDescent="0.2">
      <c r="A22" s="58"/>
      <c r="B22" s="58"/>
      <c r="C22" s="58"/>
      <c r="D22" s="58"/>
      <c r="E22" s="58"/>
      <c r="F22" s="58"/>
      <c r="G22" s="58"/>
      <c r="H22" s="58"/>
      <c r="I22" s="58"/>
      <c r="J22" s="91" t="s">
        <v>291</v>
      </c>
      <c r="K22" s="58"/>
      <c r="L22" s="89"/>
      <c r="M22" s="89"/>
    </row>
    <row r="23" spans="1:13" ht="13.5" customHeight="1" x14ac:dyDescent="0.25">
      <c r="A23" s="454" t="s">
        <v>164</v>
      </c>
      <c r="B23" s="454"/>
      <c r="C23" s="454"/>
      <c r="D23" s="454"/>
      <c r="E23" s="454"/>
      <c r="F23" s="454"/>
      <c r="G23" s="454"/>
      <c r="H23" s="454"/>
      <c r="I23" s="454"/>
      <c r="J23" s="454"/>
      <c r="K23" s="454"/>
      <c r="L23" s="92"/>
      <c r="M23" s="92"/>
    </row>
    <row r="24" spans="1:13" ht="13.5" customHeight="1" x14ac:dyDescent="0.2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92"/>
      <c r="M24" s="92"/>
    </row>
    <row r="25" spans="1:13" ht="13.5" customHeight="1" x14ac:dyDescent="0.25">
      <c r="A25" s="54"/>
      <c r="B25" s="54" t="s">
        <v>165</v>
      </c>
      <c r="C25" s="54"/>
      <c r="D25" s="54"/>
      <c r="E25" s="54"/>
      <c r="F25" s="54"/>
      <c r="G25" s="54"/>
      <c r="H25" s="54"/>
      <c r="I25" s="54"/>
      <c r="J25" s="54"/>
      <c r="K25" s="54"/>
      <c r="L25" s="92"/>
      <c r="M25" s="92"/>
    </row>
    <row r="26" spans="1:13" ht="13.5" customHeight="1" thickBot="1" x14ac:dyDescent="0.3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92"/>
      <c r="M26" s="92"/>
    </row>
    <row r="27" spans="1:13" ht="55.5" customHeight="1" x14ac:dyDescent="0.25">
      <c r="A27" s="55" t="s">
        <v>137</v>
      </c>
      <c r="B27" s="56" t="s">
        <v>138</v>
      </c>
      <c r="C27" s="56" t="s">
        <v>139</v>
      </c>
      <c r="D27" s="56" t="s">
        <v>166</v>
      </c>
      <c r="E27" s="93" t="s">
        <v>167</v>
      </c>
      <c r="F27" s="94" t="s">
        <v>168</v>
      </c>
      <c r="G27" s="94" t="s">
        <v>145</v>
      </c>
      <c r="H27" s="95" t="s">
        <v>169</v>
      </c>
      <c r="I27" s="58"/>
      <c r="J27" s="58"/>
      <c r="K27" s="58"/>
      <c r="L27" s="96"/>
      <c r="M27" s="96"/>
    </row>
    <row r="28" spans="1:13" x14ac:dyDescent="0.25">
      <c r="A28" s="97"/>
      <c r="B28" s="98" t="s">
        <v>170</v>
      </c>
      <c r="C28" s="62"/>
      <c r="D28" s="62"/>
      <c r="E28" s="99"/>
      <c r="F28" s="62"/>
      <c r="G28" s="62"/>
      <c r="H28" s="100"/>
      <c r="I28" s="101"/>
      <c r="J28" s="101"/>
      <c r="K28" s="59"/>
      <c r="L28" s="67"/>
      <c r="M28" s="67"/>
    </row>
    <row r="29" spans="1:13" x14ac:dyDescent="0.25">
      <c r="A29" s="60">
        <v>1</v>
      </c>
      <c r="B29" s="61" t="s">
        <v>171</v>
      </c>
      <c r="C29" s="62" t="s">
        <v>172</v>
      </c>
      <c r="D29" s="63">
        <v>2</v>
      </c>
      <c r="E29" s="63">
        <f>D29/20</f>
        <v>0.1</v>
      </c>
      <c r="F29" s="102">
        <f>E29/20.58</f>
        <v>4.8590864917395539E-3</v>
      </c>
      <c r="G29" s="270">
        <v>54.24</v>
      </c>
      <c r="H29" s="100">
        <f>F29*G29</f>
        <v>0.26355685131195339</v>
      </c>
      <c r="I29" s="103"/>
      <c r="J29" s="59"/>
      <c r="K29" s="59"/>
      <c r="L29" s="67"/>
      <c r="M29" s="67"/>
    </row>
    <row r="30" spans="1:13" x14ac:dyDescent="0.25">
      <c r="A30" s="60">
        <v>2</v>
      </c>
      <c r="B30" s="61" t="s">
        <v>173</v>
      </c>
      <c r="C30" s="62" t="s">
        <v>172</v>
      </c>
      <c r="D30" s="63">
        <v>5</v>
      </c>
      <c r="E30" s="63">
        <f t="shared" ref="E30:E36" si="4">D30/20</f>
        <v>0.25</v>
      </c>
      <c r="F30" s="102">
        <f t="shared" ref="F30:F36" si="5">E30/20.58</f>
        <v>1.2147716229348883E-2</v>
      </c>
      <c r="G30" s="270">
        <v>60.47</v>
      </c>
      <c r="H30" s="100">
        <f t="shared" ref="H30:H36" si="6">F30*G30</f>
        <v>0.73457240038872695</v>
      </c>
      <c r="I30" s="103"/>
      <c r="J30" s="59"/>
      <c r="K30" s="59"/>
      <c r="L30" s="67"/>
      <c r="M30" s="67"/>
    </row>
    <row r="31" spans="1:13" ht="15" customHeight="1" x14ac:dyDescent="0.25">
      <c r="A31" s="60">
        <v>3</v>
      </c>
      <c r="B31" s="61" t="s">
        <v>174</v>
      </c>
      <c r="C31" s="62" t="s">
        <v>175</v>
      </c>
      <c r="D31" s="63">
        <v>1</v>
      </c>
      <c r="E31" s="63">
        <f t="shared" si="4"/>
        <v>0.05</v>
      </c>
      <c r="F31" s="102">
        <f t="shared" si="5"/>
        <v>2.4295432458697769E-3</v>
      </c>
      <c r="G31" s="270">
        <v>257.27</v>
      </c>
      <c r="H31" s="100">
        <f t="shared" si="6"/>
        <v>0.62504859086491749</v>
      </c>
      <c r="I31" s="103"/>
      <c r="J31" s="59"/>
      <c r="K31" s="59"/>
      <c r="L31" s="67"/>
      <c r="M31" s="67"/>
    </row>
    <row r="32" spans="1:13" x14ac:dyDescent="0.25">
      <c r="A32" s="60">
        <v>4</v>
      </c>
      <c r="B32" s="61" t="s">
        <v>176</v>
      </c>
      <c r="C32" s="62" t="s">
        <v>175</v>
      </c>
      <c r="D32" s="63">
        <v>1</v>
      </c>
      <c r="E32" s="63">
        <f t="shared" si="4"/>
        <v>0.05</v>
      </c>
      <c r="F32" s="102">
        <f t="shared" si="5"/>
        <v>2.4295432458697769E-3</v>
      </c>
      <c r="G32" s="270">
        <f>34.5*2</f>
        <v>69</v>
      </c>
      <c r="H32" s="100">
        <f t="shared" si="6"/>
        <v>0.1676384839650146</v>
      </c>
      <c r="I32" s="103"/>
      <c r="J32" s="59"/>
      <c r="K32" s="59"/>
      <c r="L32" s="67"/>
      <c r="M32" s="67"/>
    </row>
    <row r="33" spans="1:13" x14ac:dyDescent="0.25">
      <c r="A33" s="60">
        <v>5</v>
      </c>
      <c r="B33" s="61" t="s">
        <v>177</v>
      </c>
      <c r="C33" s="62" t="s">
        <v>178</v>
      </c>
      <c r="D33" s="63">
        <v>1</v>
      </c>
      <c r="E33" s="63">
        <f t="shared" si="4"/>
        <v>0.05</v>
      </c>
      <c r="F33" s="102">
        <f t="shared" si="5"/>
        <v>2.4295432458697769E-3</v>
      </c>
      <c r="G33" s="270">
        <v>55</v>
      </c>
      <c r="H33" s="100">
        <f t="shared" si="6"/>
        <v>0.13362487852283772</v>
      </c>
      <c r="I33" s="103"/>
      <c r="J33" s="59"/>
      <c r="K33" s="59"/>
      <c r="L33" s="67"/>
      <c r="M33" s="67"/>
    </row>
    <row r="34" spans="1:13" x14ac:dyDescent="0.25">
      <c r="A34" s="60">
        <v>6</v>
      </c>
      <c r="B34" s="61" t="s">
        <v>202</v>
      </c>
      <c r="C34" s="62" t="s">
        <v>97</v>
      </c>
      <c r="D34" s="63">
        <v>3</v>
      </c>
      <c r="E34" s="63">
        <f t="shared" si="4"/>
        <v>0.15</v>
      </c>
      <c r="F34" s="102">
        <f t="shared" si="5"/>
        <v>7.28862973760933E-3</v>
      </c>
      <c r="G34" s="270">
        <v>26.7</v>
      </c>
      <c r="H34" s="100">
        <f t="shared" si="6"/>
        <v>0.19460641399416911</v>
      </c>
      <c r="I34" s="103"/>
      <c r="J34" s="59"/>
      <c r="K34" s="59"/>
      <c r="L34" s="67"/>
      <c r="M34" s="67"/>
    </row>
    <row r="35" spans="1:13" x14ac:dyDescent="0.25">
      <c r="A35" s="60">
        <v>7</v>
      </c>
      <c r="B35" s="61" t="s">
        <v>180</v>
      </c>
      <c r="C35" s="62" t="s">
        <v>97</v>
      </c>
      <c r="D35" s="63">
        <v>1</v>
      </c>
      <c r="E35" s="63">
        <f t="shared" si="4"/>
        <v>0.05</v>
      </c>
      <c r="F35" s="102">
        <f t="shared" si="5"/>
        <v>2.4295432458697769E-3</v>
      </c>
      <c r="G35" s="270">
        <v>27</v>
      </c>
      <c r="H35" s="100">
        <f t="shared" si="6"/>
        <v>6.5597667638483972E-2</v>
      </c>
      <c r="I35" s="103"/>
      <c r="J35" s="59"/>
      <c r="K35" s="59"/>
      <c r="L35" s="67"/>
      <c r="M35" s="67"/>
    </row>
    <row r="36" spans="1:13" ht="15" customHeight="1" x14ac:dyDescent="0.25">
      <c r="A36" s="60">
        <v>8</v>
      </c>
      <c r="B36" s="61" t="s">
        <v>203</v>
      </c>
      <c r="C36" s="62" t="s">
        <v>162</v>
      </c>
      <c r="D36" s="63">
        <v>0.5</v>
      </c>
      <c r="E36" s="63">
        <f t="shared" si="4"/>
        <v>2.5000000000000001E-2</v>
      </c>
      <c r="F36" s="102">
        <f t="shared" si="5"/>
        <v>1.2147716229348885E-3</v>
      </c>
      <c r="G36" s="270">
        <v>83</v>
      </c>
      <c r="H36" s="100">
        <f t="shared" si="6"/>
        <v>0.10082604470359574</v>
      </c>
      <c r="I36" s="103"/>
      <c r="J36" s="59"/>
      <c r="K36" s="59"/>
      <c r="L36" s="67"/>
      <c r="M36" s="67"/>
    </row>
    <row r="37" spans="1:13" ht="15" thickBot="1" x14ac:dyDescent="0.3">
      <c r="A37" s="104"/>
      <c r="B37" s="105"/>
      <c r="C37" s="105"/>
      <c r="D37" s="105"/>
      <c r="E37" s="105"/>
      <c r="F37" s="105"/>
      <c r="G37" s="105"/>
      <c r="H37" s="130">
        <f>SUM(H29:H36)</f>
        <v>2.285471331389699</v>
      </c>
      <c r="I37" s="59"/>
      <c r="J37" s="68"/>
      <c r="K37" s="68"/>
      <c r="L37" s="67"/>
      <c r="M37" s="67"/>
    </row>
    <row r="38" spans="1:13" x14ac:dyDescent="0.25">
      <c r="A38" s="106"/>
      <c r="B38" s="59"/>
      <c r="C38" s="59"/>
      <c r="D38" s="59"/>
      <c r="E38" s="59"/>
      <c r="F38" s="59"/>
      <c r="G38" s="59"/>
      <c r="H38" s="107"/>
      <c r="I38" s="59"/>
      <c r="J38" s="68"/>
      <c r="K38" s="68"/>
      <c r="L38" s="67"/>
      <c r="M38" s="67"/>
    </row>
    <row r="39" spans="1:13" ht="15.75" x14ac:dyDescent="0.25">
      <c r="A39" s="106"/>
      <c r="B39" s="52" t="s">
        <v>182</v>
      </c>
      <c r="C39" s="59"/>
      <c r="D39" s="59"/>
      <c r="E39" s="59"/>
      <c r="F39" s="59"/>
      <c r="G39" s="59"/>
      <c r="H39" s="107"/>
      <c r="I39" s="59"/>
      <c r="J39" s="68"/>
      <c r="K39" s="68"/>
      <c r="L39" s="67"/>
      <c r="M39" s="67"/>
    </row>
    <row r="40" spans="1:13" ht="13.5" thickBot="1" x14ac:dyDescent="0.3">
      <c r="A40" s="106"/>
      <c r="B40" s="59"/>
      <c r="C40" s="59"/>
      <c r="D40" s="59"/>
      <c r="E40" s="59"/>
      <c r="F40" s="59"/>
      <c r="G40" s="59"/>
      <c r="H40" s="107"/>
      <c r="I40" s="59"/>
      <c r="J40" s="68"/>
      <c r="K40" s="68"/>
      <c r="L40" s="67"/>
      <c r="M40" s="67"/>
    </row>
    <row r="41" spans="1:13" ht="31.5" x14ac:dyDescent="0.25">
      <c r="A41" s="55" t="s">
        <v>137</v>
      </c>
      <c r="B41" s="56" t="s">
        <v>138</v>
      </c>
      <c r="C41" s="56" t="s">
        <v>139</v>
      </c>
      <c r="D41" s="56" t="s">
        <v>166</v>
      </c>
      <c r="E41" s="93" t="s">
        <v>167</v>
      </c>
      <c r="F41" s="94" t="s">
        <v>168</v>
      </c>
      <c r="G41" s="94" t="s">
        <v>145</v>
      </c>
      <c r="H41" s="95" t="s">
        <v>169</v>
      </c>
      <c r="I41" s="59"/>
      <c r="J41" s="68"/>
      <c r="K41" s="68"/>
      <c r="L41" s="67"/>
      <c r="M41" s="67"/>
    </row>
    <row r="42" spans="1:13" x14ac:dyDescent="0.25">
      <c r="A42" s="97"/>
      <c r="B42" s="98" t="s">
        <v>170</v>
      </c>
      <c r="C42" s="62"/>
      <c r="D42" s="62"/>
      <c r="E42" s="99"/>
      <c r="F42" s="62"/>
      <c r="G42" s="62"/>
      <c r="H42" s="100"/>
      <c r="I42" s="59"/>
      <c r="J42" s="68"/>
      <c r="K42" s="68"/>
      <c r="L42" s="67"/>
      <c r="M42" s="67"/>
    </row>
    <row r="43" spans="1:13" x14ac:dyDescent="0.25">
      <c r="A43" s="60">
        <v>1</v>
      </c>
      <c r="B43" s="61" t="s">
        <v>171</v>
      </c>
      <c r="C43" s="62" t="s">
        <v>172</v>
      </c>
      <c r="D43" s="63">
        <v>5</v>
      </c>
      <c r="E43" s="63">
        <f>D43/20</f>
        <v>0.25</v>
      </c>
      <c r="F43" s="102">
        <f>E43/20.58</f>
        <v>1.2147716229348883E-2</v>
      </c>
      <c r="G43" s="270">
        <v>54.24</v>
      </c>
      <c r="H43" s="100">
        <f>F43*G43</f>
        <v>0.65889212827988342</v>
      </c>
      <c r="I43" s="59"/>
      <c r="J43" s="68"/>
      <c r="K43" s="68"/>
      <c r="L43" s="67"/>
      <c r="M43" s="67"/>
    </row>
    <row r="44" spans="1:13" x14ac:dyDescent="0.25">
      <c r="A44" s="60">
        <v>2</v>
      </c>
      <c r="B44" s="61" t="s">
        <v>173</v>
      </c>
      <c r="C44" s="62" t="s">
        <v>172</v>
      </c>
      <c r="D44" s="63">
        <v>5</v>
      </c>
      <c r="E44" s="63">
        <f t="shared" ref="E44:E50" si="7">D44/20</f>
        <v>0.25</v>
      </c>
      <c r="F44" s="102">
        <f t="shared" ref="F44:F50" si="8">E44/20.58</f>
        <v>1.2147716229348883E-2</v>
      </c>
      <c r="G44" s="270">
        <v>60.47</v>
      </c>
      <c r="H44" s="100">
        <f t="shared" ref="H44:H50" si="9">F44*G44</f>
        <v>0.73457240038872695</v>
      </c>
      <c r="I44" s="59"/>
      <c r="J44" s="68"/>
      <c r="K44" s="68"/>
      <c r="L44" s="67"/>
      <c r="M44" s="67"/>
    </row>
    <row r="45" spans="1:13" x14ac:dyDescent="0.25">
      <c r="A45" s="60">
        <v>3</v>
      </c>
      <c r="B45" s="61" t="s">
        <v>174</v>
      </c>
      <c r="C45" s="62" t="s">
        <v>175</v>
      </c>
      <c r="D45" s="63">
        <v>4</v>
      </c>
      <c r="E45" s="63">
        <f t="shared" si="7"/>
        <v>0.2</v>
      </c>
      <c r="F45" s="102">
        <f t="shared" si="8"/>
        <v>9.7181729834791078E-3</v>
      </c>
      <c r="G45" s="270">
        <v>257.27</v>
      </c>
      <c r="H45" s="100">
        <f t="shared" si="9"/>
        <v>2.5001943634596699</v>
      </c>
      <c r="I45" s="59"/>
      <c r="J45" s="68"/>
      <c r="K45" s="68"/>
      <c r="L45" s="67"/>
      <c r="M45" s="67"/>
    </row>
    <row r="46" spans="1:13" x14ac:dyDescent="0.25">
      <c r="A46" s="60">
        <v>4</v>
      </c>
      <c r="B46" s="61" t="s">
        <v>176</v>
      </c>
      <c r="C46" s="62" t="s">
        <v>175</v>
      </c>
      <c r="D46" s="63">
        <v>1</v>
      </c>
      <c r="E46" s="63">
        <f t="shared" si="7"/>
        <v>0.05</v>
      </c>
      <c r="F46" s="102">
        <f t="shared" si="8"/>
        <v>2.4295432458697769E-3</v>
      </c>
      <c r="G46" s="270">
        <v>69</v>
      </c>
      <c r="H46" s="100">
        <f t="shared" si="9"/>
        <v>0.1676384839650146</v>
      </c>
      <c r="I46" s="59"/>
      <c r="J46" s="68"/>
      <c r="K46" s="68"/>
      <c r="L46" s="67"/>
      <c r="M46" s="67"/>
    </row>
    <row r="47" spans="1:13" x14ac:dyDescent="0.25">
      <c r="A47" s="60">
        <v>5</v>
      </c>
      <c r="B47" s="61" t="s">
        <v>177</v>
      </c>
      <c r="C47" s="62" t="s">
        <v>178</v>
      </c>
      <c r="D47" s="63">
        <v>1</v>
      </c>
      <c r="E47" s="63">
        <f t="shared" si="7"/>
        <v>0.05</v>
      </c>
      <c r="F47" s="102">
        <f t="shared" si="8"/>
        <v>2.4295432458697769E-3</v>
      </c>
      <c r="G47" s="270">
        <v>55</v>
      </c>
      <c r="H47" s="100">
        <f t="shared" si="9"/>
        <v>0.13362487852283772</v>
      </c>
      <c r="I47" s="59"/>
      <c r="J47" s="68"/>
      <c r="K47" s="68"/>
      <c r="L47" s="67"/>
      <c r="M47" s="67"/>
    </row>
    <row r="48" spans="1:13" x14ac:dyDescent="0.25">
      <c r="A48" s="60">
        <v>6</v>
      </c>
      <c r="B48" s="61" t="s">
        <v>244</v>
      </c>
      <c r="C48" s="62" t="s">
        <v>97</v>
      </c>
      <c r="D48" s="63">
        <v>3</v>
      </c>
      <c r="E48" s="63">
        <f t="shared" si="7"/>
        <v>0.15</v>
      </c>
      <c r="F48" s="102">
        <f t="shared" si="8"/>
        <v>7.28862973760933E-3</v>
      </c>
      <c r="G48" s="270">
        <v>26.7</v>
      </c>
      <c r="H48" s="100">
        <f t="shared" si="9"/>
        <v>0.19460641399416911</v>
      </c>
      <c r="I48" s="59"/>
      <c r="J48" s="68"/>
      <c r="K48" s="68"/>
      <c r="L48" s="67"/>
      <c r="M48" s="67"/>
    </row>
    <row r="49" spans="1:13" x14ac:dyDescent="0.25">
      <c r="A49" s="60">
        <v>7</v>
      </c>
      <c r="B49" s="61" t="s">
        <v>180</v>
      </c>
      <c r="C49" s="62" t="s">
        <v>97</v>
      </c>
      <c r="D49" s="63">
        <v>1</v>
      </c>
      <c r="E49" s="63">
        <f t="shared" si="7"/>
        <v>0.05</v>
      </c>
      <c r="F49" s="102">
        <f t="shared" si="8"/>
        <v>2.4295432458697769E-3</v>
      </c>
      <c r="G49" s="270">
        <v>27</v>
      </c>
      <c r="H49" s="100">
        <f t="shared" si="9"/>
        <v>6.5597667638483972E-2</v>
      </c>
      <c r="I49" s="59"/>
      <c r="J49" s="68"/>
      <c r="K49" s="68"/>
      <c r="L49" s="67"/>
      <c r="M49" s="67"/>
    </row>
    <row r="50" spans="1:13" x14ac:dyDescent="0.25">
      <c r="A50" s="60">
        <v>8</v>
      </c>
      <c r="B50" s="61" t="s">
        <v>203</v>
      </c>
      <c r="C50" s="62" t="s">
        <v>162</v>
      </c>
      <c r="D50" s="63">
        <v>0.5</v>
      </c>
      <c r="E50" s="63">
        <f t="shared" si="7"/>
        <v>2.5000000000000001E-2</v>
      </c>
      <c r="F50" s="102">
        <f t="shared" si="8"/>
        <v>1.2147716229348885E-3</v>
      </c>
      <c r="G50" s="270">
        <v>83</v>
      </c>
      <c r="H50" s="100">
        <f t="shared" si="9"/>
        <v>0.10082604470359574</v>
      </c>
      <c r="I50" s="59"/>
      <c r="J50" s="68"/>
      <c r="K50" s="68"/>
      <c r="L50" s="67"/>
      <c r="M50" s="67"/>
    </row>
    <row r="51" spans="1:13" ht="15" thickBot="1" x14ac:dyDescent="0.3">
      <c r="A51" s="104"/>
      <c r="B51" s="105"/>
      <c r="C51" s="105"/>
      <c r="D51" s="105"/>
      <c r="E51" s="105"/>
      <c r="F51" s="105"/>
      <c r="G51" s="105"/>
      <c r="H51" s="130">
        <f>SUM(H43:H50)</f>
        <v>4.5559523809523821</v>
      </c>
      <c r="I51" s="59"/>
      <c r="J51" s="68"/>
      <c r="K51" s="68"/>
      <c r="L51" s="67"/>
      <c r="M51" s="67"/>
    </row>
    <row r="52" spans="1:13" x14ac:dyDescent="0.25">
      <c r="A52" s="106"/>
      <c r="B52" s="59"/>
      <c r="C52" s="59"/>
      <c r="D52" s="59"/>
      <c r="E52" s="59"/>
      <c r="F52" s="59"/>
      <c r="G52" s="59"/>
      <c r="H52" s="107"/>
      <c r="I52" s="59"/>
      <c r="J52" s="68"/>
      <c r="K52" s="68"/>
      <c r="L52" s="67"/>
      <c r="M52" s="67"/>
    </row>
    <row r="53" spans="1:13" x14ac:dyDescent="0.25">
      <c r="A53" s="106"/>
      <c r="B53" s="59"/>
      <c r="C53" s="59"/>
      <c r="D53" s="59"/>
      <c r="E53" s="59"/>
      <c r="F53" s="59"/>
      <c r="G53" s="59"/>
      <c r="H53" s="59"/>
      <c r="I53" s="59"/>
      <c r="J53" s="68"/>
      <c r="K53" s="68"/>
      <c r="L53" s="59"/>
      <c r="M53" s="59"/>
    </row>
    <row r="54" spans="1:13" ht="14.25" customHeight="1" x14ac:dyDescent="0.25">
      <c r="A54" s="106"/>
      <c r="B54" s="59"/>
      <c r="C54" s="453" t="s">
        <v>183</v>
      </c>
      <c r="D54" s="453"/>
      <c r="E54" s="453"/>
      <c r="F54" s="453"/>
      <c r="G54" s="453"/>
      <c r="H54" s="453"/>
      <c r="I54" s="171"/>
      <c r="J54" s="171"/>
      <c r="K54" s="68"/>
      <c r="L54" s="59"/>
      <c r="M54" s="59"/>
    </row>
    <row r="55" spans="1:13" ht="15" thickBot="1" x14ac:dyDescent="0.3">
      <c r="A55" s="106"/>
      <c r="B55" s="59"/>
      <c r="C55" s="59"/>
      <c r="D55" s="108"/>
      <c r="E55" s="108"/>
      <c r="F55" s="108"/>
      <c r="G55" s="108"/>
      <c r="H55" s="108"/>
      <c r="I55" s="108"/>
      <c r="J55" s="108"/>
      <c r="K55" s="68"/>
      <c r="L55" s="59"/>
      <c r="M55" s="59"/>
    </row>
    <row r="56" spans="1:13" ht="60.75" customHeight="1" x14ac:dyDescent="0.25">
      <c r="A56" s="106"/>
      <c r="B56" s="59"/>
      <c r="C56" s="59"/>
      <c r="D56" s="126" t="s">
        <v>184</v>
      </c>
      <c r="E56" s="127" t="s">
        <v>185</v>
      </c>
      <c r="F56" s="127" t="s">
        <v>186</v>
      </c>
      <c r="G56" s="127" t="s">
        <v>187</v>
      </c>
      <c r="H56" s="128" t="s">
        <v>188</v>
      </c>
      <c r="I56" s="59"/>
      <c r="J56" s="59"/>
      <c r="K56" s="68"/>
      <c r="L56" s="59"/>
      <c r="M56" s="59"/>
    </row>
    <row r="57" spans="1:13" ht="26.25" thickBot="1" x14ac:dyDescent="0.3">
      <c r="A57" s="106"/>
      <c r="B57" s="59"/>
      <c r="C57" s="59"/>
      <c r="D57" s="109">
        <v>0.5</v>
      </c>
      <c r="E57" s="105">
        <v>4</v>
      </c>
      <c r="F57" s="273">
        <f>66.906+(66.906*18.5%)</f>
        <v>79.28361000000001</v>
      </c>
      <c r="G57" s="105">
        <f>D57*E57*F57</f>
        <v>158.56722000000002</v>
      </c>
      <c r="H57" s="110">
        <f>G57/20.58</f>
        <v>7.7049183673469406</v>
      </c>
      <c r="I57" s="59"/>
      <c r="J57" s="68"/>
      <c r="K57" s="68" t="s">
        <v>310</v>
      </c>
      <c r="L57" s="59"/>
      <c r="M57" s="59"/>
    </row>
    <row r="58" spans="1:13" x14ac:dyDescent="0.25">
      <c r="A58" s="106"/>
      <c r="B58" s="59"/>
      <c r="C58" s="59"/>
      <c r="D58" s="59"/>
      <c r="E58" s="59"/>
      <c r="F58" s="59"/>
      <c r="G58" s="59"/>
      <c r="H58" s="59"/>
      <c r="I58" s="59"/>
      <c r="J58" s="68"/>
      <c r="K58" s="68"/>
      <c r="L58" s="59"/>
      <c r="M58" s="59"/>
    </row>
    <row r="59" spans="1:13" ht="18.75" customHeight="1" x14ac:dyDescent="0.25">
      <c r="A59" s="106"/>
      <c r="B59" s="450" t="s">
        <v>189</v>
      </c>
      <c r="C59" s="451"/>
      <c r="D59" s="451"/>
      <c r="E59" s="451"/>
      <c r="F59" s="451"/>
      <c r="G59" s="451"/>
      <c r="H59" s="451"/>
      <c r="I59" s="451"/>
      <c r="J59" s="451"/>
      <c r="K59" s="68"/>
      <c r="L59" s="59"/>
      <c r="M59" s="59"/>
    </row>
    <row r="60" spans="1:13" ht="15" thickBot="1" x14ac:dyDescent="0.3">
      <c r="A60" s="106"/>
      <c r="B60" s="111"/>
      <c r="C60" s="112"/>
      <c r="D60" s="112"/>
      <c r="E60" s="112"/>
      <c r="F60" s="112"/>
      <c r="G60" s="112"/>
      <c r="H60" s="112"/>
      <c r="I60" s="112"/>
      <c r="J60" s="112"/>
      <c r="K60" s="68"/>
      <c r="L60" s="59"/>
      <c r="M60" s="59"/>
    </row>
    <row r="61" spans="1:13" ht="53.25" customHeight="1" x14ac:dyDescent="0.15">
      <c r="A61" s="55" t="s">
        <v>137</v>
      </c>
      <c r="B61" s="56" t="s">
        <v>138</v>
      </c>
      <c r="C61" s="56" t="s">
        <v>139</v>
      </c>
      <c r="D61" s="56" t="s">
        <v>140</v>
      </c>
      <c r="E61" s="56" t="s">
        <v>141</v>
      </c>
      <c r="F61" s="56" t="s">
        <v>142</v>
      </c>
      <c r="G61" s="113" t="s">
        <v>190</v>
      </c>
      <c r="H61" s="56" t="s">
        <v>191</v>
      </c>
      <c r="I61" s="56" t="s">
        <v>145</v>
      </c>
      <c r="J61" s="57" t="s">
        <v>192</v>
      </c>
      <c r="K61" s="58"/>
      <c r="L61" s="58"/>
      <c r="M61" s="58"/>
    </row>
    <row r="62" spans="1:13" ht="15.75" x14ac:dyDescent="0.25">
      <c r="A62" s="60"/>
      <c r="B62" s="133" t="s">
        <v>193</v>
      </c>
      <c r="C62" s="61" t="s">
        <v>97</v>
      </c>
      <c r="D62" s="61">
        <v>1</v>
      </c>
      <c r="E62" s="61">
        <v>5</v>
      </c>
      <c r="F62" s="61">
        <v>0.2</v>
      </c>
      <c r="G62" s="61">
        <f>F62/12</f>
        <v>1.6666666666666666E-2</v>
      </c>
      <c r="H62" s="114">
        <f t="shared" ref="H62:H69" si="10">G62/20.58</f>
        <v>8.0984774862325891E-4</v>
      </c>
      <c r="I62" s="274">
        <f>169/2</f>
        <v>84.5</v>
      </c>
      <c r="J62" s="66">
        <f t="shared" ref="J62:J69" si="11">H62*I62</f>
        <v>6.8432134758665372E-2</v>
      </c>
      <c r="K62" s="59"/>
      <c r="L62" s="59"/>
      <c r="M62" s="59"/>
    </row>
    <row r="63" spans="1:13" ht="15.75" customHeight="1" x14ac:dyDescent="0.25">
      <c r="A63" s="60"/>
      <c r="B63" s="129" t="s">
        <v>194</v>
      </c>
      <c r="C63" s="61" t="s">
        <v>97</v>
      </c>
      <c r="D63" s="61">
        <v>1</v>
      </c>
      <c r="E63" s="61">
        <v>5</v>
      </c>
      <c r="F63" s="61">
        <v>0.2</v>
      </c>
      <c r="G63" s="61">
        <f t="shared" ref="G63:G69" si="12">F63/12</f>
        <v>1.6666666666666666E-2</v>
      </c>
      <c r="H63" s="114">
        <f t="shared" si="10"/>
        <v>8.0984774862325891E-4</v>
      </c>
      <c r="I63" s="274">
        <v>23</v>
      </c>
      <c r="J63" s="66">
        <f t="shared" si="11"/>
        <v>1.8626498218334956E-2</v>
      </c>
      <c r="K63" s="59"/>
      <c r="L63" s="59"/>
      <c r="M63" s="59"/>
    </row>
    <row r="64" spans="1:13" x14ac:dyDescent="0.25">
      <c r="A64" s="60"/>
      <c r="B64" s="61" t="s">
        <v>195</v>
      </c>
      <c r="C64" s="61" t="s">
        <v>97</v>
      </c>
      <c r="D64" s="61">
        <v>1</v>
      </c>
      <c r="E64" s="61">
        <v>5</v>
      </c>
      <c r="F64" s="61">
        <v>0.2</v>
      </c>
      <c r="G64" s="61">
        <f t="shared" si="12"/>
        <v>1.6666666666666666E-2</v>
      </c>
      <c r="H64" s="114">
        <f t="shared" si="10"/>
        <v>8.0984774862325891E-4</v>
      </c>
      <c r="I64" s="274">
        <v>29</v>
      </c>
      <c r="J64" s="66">
        <f t="shared" si="11"/>
        <v>2.348558471007451E-2</v>
      </c>
      <c r="K64" s="59"/>
      <c r="L64" s="59"/>
      <c r="M64" s="59"/>
    </row>
    <row r="65" spans="1:14" x14ac:dyDescent="0.25">
      <c r="A65" s="60"/>
      <c r="B65" s="61" t="s">
        <v>196</v>
      </c>
      <c r="C65" s="61" t="s">
        <v>97</v>
      </c>
      <c r="D65" s="61">
        <v>1</v>
      </c>
      <c r="E65" s="61">
        <v>5</v>
      </c>
      <c r="F65" s="61">
        <v>0.2</v>
      </c>
      <c r="G65" s="61">
        <f t="shared" si="12"/>
        <v>1.6666666666666666E-2</v>
      </c>
      <c r="H65" s="114">
        <f t="shared" si="10"/>
        <v>8.0984774862325891E-4</v>
      </c>
      <c r="I65" s="274">
        <f>259/2</f>
        <v>129.5</v>
      </c>
      <c r="J65" s="66">
        <f t="shared" si="11"/>
        <v>0.10487528344671203</v>
      </c>
      <c r="K65" s="59"/>
      <c r="L65" s="59"/>
      <c r="M65" s="59"/>
    </row>
    <row r="66" spans="1:14" x14ac:dyDescent="0.25">
      <c r="A66" s="60"/>
      <c r="B66" s="61" t="s">
        <v>197</v>
      </c>
      <c r="C66" s="61" t="s">
        <v>97</v>
      </c>
      <c r="D66" s="61">
        <v>1</v>
      </c>
      <c r="E66" s="61">
        <v>1</v>
      </c>
      <c r="F66" s="61">
        <v>1</v>
      </c>
      <c r="G66" s="61">
        <f t="shared" si="12"/>
        <v>8.3333333333333329E-2</v>
      </c>
      <c r="H66" s="114">
        <f t="shared" si="10"/>
        <v>4.0492387431162943E-3</v>
      </c>
      <c r="I66" s="274">
        <v>129</v>
      </c>
      <c r="J66" s="66">
        <f t="shared" si="11"/>
        <v>0.52235179786200192</v>
      </c>
      <c r="K66" s="59"/>
      <c r="L66" s="59"/>
      <c r="M66" s="59"/>
    </row>
    <row r="67" spans="1:14" x14ac:dyDescent="0.25">
      <c r="A67" s="60"/>
      <c r="B67" s="61" t="s">
        <v>198</v>
      </c>
      <c r="C67" s="61" t="s">
        <v>97</v>
      </c>
      <c r="D67" s="61">
        <v>1</v>
      </c>
      <c r="E67" s="61">
        <v>1</v>
      </c>
      <c r="F67" s="61">
        <v>1</v>
      </c>
      <c r="G67" s="61">
        <f t="shared" si="12"/>
        <v>8.3333333333333329E-2</v>
      </c>
      <c r="H67" s="114">
        <f t="shared" si="10"/>
        <v>4.0492387431162943E-3</v>
      </c>
      <c r="I67" s="274">
        <f>652/6</f>
        <v>108.66666666666667</v>
      </c>
      <c r="J67" s="66">
        <f t="shared" si="11"/>
        <v>0.44001727675197067</v>
      </c>
      <c r="K67" s="59"/>
      <c r="L67" s="59"/>
      <c r="M67" s="59"/>
    </row>
    <row r="68" spans="1:14" x14ac:dyDescent="0.25">
      <c r="A68" s="60"/>
      <c r="B68" s="61" t="s">
        <v>199</v>
      </c>
      <c r="C68" s="61" t="s">
        <v>97</v>
      </c>
      <c r="D68" s="61">
        <v>1</v>
      </c>
      <c r="E68" s="61">
        <v>1</v>
      </c>
      <c r="F68" s="61">
        <v>1</v>
      </c>
      <c r="G68" s="61">
        <f t="shared" si="12"/>
        <v>8.3333333333333329E-2</v>
      </c>
      <c r="H68" s="114">
        <f t="shared" si="10"/>
        <v>4.0492387431162943E-3</v>
      </c>
      <c r="I68" s="274">
        <f>370/6</f>
        <v>61.666666666666664</v>
      </c>
      <c r="J68" s="66">
        <f t="shared" si="11"/>
        <v>0.24970305582550481</v>
      </c>
      <c r="K68" s="59"/>
      <c r="L68" s="59"/>
      <c r="M68" s="59"/>
    </row>
    <row r="69" spans="1:14" x14ac:dyDescent="0.25">
      <c r="A69" s="60"/>
      <c r="B69" s="61" t="s">
        <v>200</v>
      </c>
      <c r="C69" s="61" t="s">
        <v>97</v>
      </c>
      <c r="D69" s="61">
        <v>1</v>
      </c>
      <c r="E69" s="61">
        <v>1</v>
      </c>
      <c r="F69" s="61">
        <v>1</v>
      </c>
      <c r="G69" s="61">
        <f t="shared" si="12"/>
        <v>8.3333333333333329E-2</v>
      </c>
      <c r="H69" s="114">
        <f t="shared" si="10"/>
        <v>4.0492387431162943E-3</v>
      </c>
      <c r="I69" s="274">
        <v>78.245999999999995</v>
      </c>
      <c r="J69" s="66">
        <f t="shared" si="11"/>
        <v>0.31683673469387752</v>
      </c>
      <c r="K69" s="59"/>
      <c r="L69" s="59"/>
      <c r="M69" s="59"/>
    </row>
    <row r="70" spans="1:14" ht="13.5" thickBot="1" x14ac:dyDescent="0.3">
      <c r="A70" s="104"/>
      <c r="B70" s="105"/>
      <c r="C70" s="105"/>
      <c r="D70" s="105"/>
      <c r="E70" s="105"/>
      <c r="F70" s="105"/>
      <c r="G70" s="105"/>
      <c r="H70" s="105"/>
      <c r="I70" s="105"/>
      <c r="J70" s="115">
        <f>SUM(J62:J69)</f>
        <v>1.7443283662671418</v>
      </c>
      <c r="K70" s="68"/>
      <c r="L70" s="116"/>
      <c r="M70" s="116"/>
    </row>
    <row r="71" spans="1:14" x14ac:dyDescent="0.25">
      <c r="A71" s="106"/>
      <c r="B71" s="59"/>
      <c r="C71" s="59"/>
      <c r="D71" s="59"/>
      <c r="E71" s="59"/>
      <c r="F71" s="59"/>
      <c r="G71" s="59"/>
      <c r="H71" s="59"/>
      <c r="I71" s="59"/>
      <c r="J71" s="68"/>
      <c r="K71" s="68"/>
      <c r="L71" s="116"/>
      <c r="M71" s="116"/>
    </row>
    <row r="72" spans="1:14" ht="78" customHeight="1" x14ac:dyDescent="0.25">
      <c r="A72" s="106"/>
      <c r="B72" s="452" t="s">
        <v>313</v>
      </c>
      <c r="C72" s="452"/>
      <c r="D72" s="452"/>
      <c r="E72" s="452"/>
      <c r="F72" s="452"/>
      <c r="G72" s="452"/>
      <c r="H72" s="170"/>
      <c r="I72" s="170"/>
      <c r="J72" s="68"/>
      <c r="K72" s="68"/>
      <c r="L72" s="116"/>
      <c r="M72" s="116"/>
    </row>
    <row r="73" spans="1:14" ht="13.5" thickBot="1" x14ac:dyDescent="0.3">
      <c r="A73" s="106"/>
      <c r="B73" s="59"/>
      <c r="C73" s="59"/>
      <c r="D73" s="59"/>
      <c r="E73" s="59"/>
      <c r="F73" s="59"/>
      <c r="G73" s="59"/>
      <c r="H73" s="59"/>
      <c r="I73" s="59"/>
      <c r="J73" s="68"/>
      <c r="K73" s="68"/>
      <c r="L73" s="59"/>
      <c r="M73" s="59"/>
    </row>
    <row r="74" spans="1:14" ht="16.5" customHeight="1" x14ac:dyDescent="0.25">
      <c r="A74" s="106"/>
      <c r="B74" s="117" t="s">
        <v>120</v>
      </c>
      <c r="C74" s="118">
        <f>J21</f>
        <v>5.5782920310981545</v>
      </c>
      <c r="D74" s="37"/>
      <c r="E74" s="172">
        <f>C74/C79</f>
        <v>0.23014451477876577</v>
      </c>
      <c r="F74" s="59"/>
      <c r="G74" s="59"/>
      <c r="H74" s="59"/>
      <c r="I74" s="59"/>
      <c r="J74" s="68"/>
      <c r="K74" s="68"/>
      <c r="L74" s="59"/>
      <c r="M74" s="59"/>
    </row>
    <row r="75" spans="1:14" ht="27" customHeight="1" x14ac:dyDescent="0.25">
      <c r="A75" s="52"/>
      <c r="B75" s="119" t="s">
        <v>121</v>
      </c>
      <c r="C75" s="120">
        <f>H37</f>
        <v>2.285471331389699</v>
      </c>
      <c r="D75" s="37"/>
      <c r="E75" s="173">
        <f>C75/C79</f>
        <v>9.429206783566596E-2</v>
      </c>
      <c r="F75" s="52"/>
      <c r="G75" s="52"/>
      <c r="H75" s="52"/>
      <c r="I75" s="52"/>
      <c r="J75" s="52"/>
      <c r="K75" s="52"/>
    </row>
    <row r="76" spans="1:14" x14ac:dyDescent="0.25">
      <c r="A76" s="106"/>
      <c r="B76" s="119" t="s">
        <v>122</v>
      </c>
      <c r="C76" s="120">
        <f>J70</f>
        <v>1.7443283662671418</v>
      </c>
      <c r="D76" s="37"/>
      <c r="E76" s="173">
        <f>C76/C79</f>
        <v>7.1966043231759369E-2</v>
      </c>
      <c r="F76" s="101"/>
      <c r="G76" s="101"/>
      <c r="H76" s="101"/>
      <c r="I76" s="68"/>
      <c r="J76" s="59"/>
      <c r="K76" s="59"/>
      <c r="L76" s="59"/>
      <c r="M76" s="59"/>
      <c r="N76" s="59"/>
    </row>
    <row r="77" spans="1:14" x14ac:dyDescent="0.25">
      <c r="A77" s="106"/>
      <c r="B77" s="119" t="s">
        <v>123</v>
      </c>
      <c r="C77" s="120">
        <f>H57</f>
        <v>7.7049183673469406</v>
      </c>
      <c r="D77" s="37"/>
      <c r="E77" s="173">
        <f>C77/C79</f>
        <v>0.31788308843952312</v>
      </c>
      <c r="F77" s="59"/>
      <c r="G77" s="59"/>
      <c r="H77" s="59"/>
      <c r="I77" s="59"/>
      <c r="J77" s="68"/>
      <c r="K77" s="68"/>
      <c r="L77" s="68"/>
      <c r="M77" s="68"/>
      <c r="N77" s="59"/>
    </row>
    <row r="78" spans="1:14" ht="76.5" x14ac:dyDescent="0.2">
      <c r="A78" s="106"/>
      <c r="B78" s="121" t="s">
        <v>124</v>
      </c>
      <c r="C78" s="222">
        <f>(J21++H37+H57+J70)*40%</f>
        <v>6.925204038440774</v>
      </c>
      <c r="D78" s="37"/>
      <c r="E78" s="173">
        <f>C78/C79</f>
        <v>0.2857142857142857</v>
      </c>
      <c r="F78" s="59"/>
      <c r="G78" s="59"/>
      <c r="H78" s="59"/>
      <c r="I78" s="59"/>
      <c r="J78" s="68"/>
      <c r="K78" s="68"/>
      <c r="L78" s="68"/>
      <c r="M78" s="68"/>
      <c r="N78" s="59"/>
    </row>
    <row r="79" spans="1:14" ht="13.5" thickBot="1" x14ac:dyDescent="0.3">
      <c r="A79" s="59"/>
      <c r="B79" s="122" t="s">
        <v>201</v>
      </c>
      <c r="C79" s="369">
        <f>SUM(C74:C78)</f>
        <v>24.238214134542712</v>
      </c>
      <c r="D79" s="37"/>
      <c r="E79" s="174">
        <f>SUM(E74:E78)</f>
        <v>0.99999999999999989</v>
      </c>
      <c r="F79" s="59"/>
      <c r="G79" s="59"/>
      <c r="H79" s="59"/>
      <c r="I79" s="59"/>
      <c r="J79" s="59"/>
      <c r="K79" s="59"/>
      <c r="L79" s="59"/>
      <c r="M79" s="59"/>
      <c r="N79" s="59"/>
    </row>
    <row r="80" spans="1:14" x14ac:dyDescent="0.25">
      <c r="A80" s="59"/>
      <c r="B80" s="59"/>
      <c r="C80" s="68"/>
      <c r="D80" s="68"/>
      <c r="E80" s="59"/>
      <c r="F80" s="59"/>
      <c r="G80" s="59"/>
      <c r="H80" s="59"/>
      <c r="I80" s="59"/>
      <c r="J80" s="59"/>
      <c r="K80" s="59"/>
      <c r="L80" s="59"/>
      <c r="M80" s="59"/>
      <c r="N80" s="59"/>
    </row>
    <row r="81" spans="1:14" ht="13.5" thickBot="1" x14ac:dyDescent="0.3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</row>
    <row r="82" spans="1:14" x14ac:dyDescent="0.25">
      <c r="A82" s="59"/>
      <c r="B82" s="117" t="s">
        <v>120</v>
      </c>
      <c r="C82" s="118">
        <f>J21</f>
        <v>5.5782920310981545</v>
      </c>
      <c r="D82" s="59"/>
      <c r="E82" s="172">
        <f>C82/C87</f>
        <v>0.29664528822784297</v>
      </c>
      <c r="F82" s="59"/>
      <c r="G82" s="59"/>
      <c r="H82" s="59"/>
      <c r="I82" s="59"/>
      <c r="J82" s="59"/>
      <c r="K82" s="59"/>
      <c r="L82" s="59"/>
      <c r="M82" s="59"/>
      <c r="N82" s="59"/>
    </row>
    <row r="83" spans="1:14" ht="25.5" x14ac:dyDescent="0.25">
      <c r="A83" s="59"/>
      <c r="B83" s="119" t="s">
        <v>121</v>
      </c>
      <c r="C83" s="120">
        <f>H51</f>
        <v>4.5559523809523821</v>
      </c>
      <c r="D83" s="59"/>
      <c r="E83" s="173">
        <f>C83/C87</f>
        <v>0.24227878348166856</v>
      </c>
      <c r="F83" s="59"/>
      <c r="G83" s="59"/>
      <c r="H83" s="59"/>
      <c r="I83" s="59"/>
      <c r="J83" s="59"/>
      <c r="K83" s="59"/>
      <c r="L83" s="59"/>
      <c r="M83" s="59"/>
      <c r="N83" s="59"/>
    </row>
    <row r="84" spans="1:14" x14ac:dyDescent="0.25">
      <c r="A84" s="59"/>
      <c r="B84" s="119" t="s">
        <v>122</v>
      </c>
      <c r="C84" s="120">
        <f>J70</f>
        <v>1.7443283662671418</v>
      </c>
      <c r="D84" s="59"/>
      <c r="E84" s="173">
        <f>C84/C87</f>
        <v>9.2760792746351267E-2</v>
      </c>
      <c r="F84" s="59"/>
      <c r="G84" s="59"/>
      <c r="H84" s="59"/>
      <c r="I84" s="59"/>
      <c r="J84" s="59"/>
      <c r="K84" s="59"/>
      <c r="L84" s="59"/>
      <c r="M84" s="59"/>
      <c r="N84" s="59"/>
    </row>
    <row r="85" spans="1:14" x14ac:dyDescent="0.25">
      <c r="A85" s="59"/>
      <c r="B85" s="119" t="s">
        <v>123</v>
      </c>
      <c r="C85" s="120">
        <f>H65</f>
        <v>8.0984774862325891E-4</v>
      </c>
      <c r="D85" s="59"/>
      <c r="E85" s="173">
        <f>C85/C87</f>
        <v>4.3066500905963271E-5</v>
      </c>
      <c r="F85" s="59"/>
      <c r="G85" s="59"/>
      <c r="H85" s="59"/>
      <c r="I85" s="59"/>
      <c r="J85" s="59"/>
      <c r="K85" s="59"/>
      <c r="L85" s="59"/>
      <c r="M85" s="59"/>
      <c r="N85" s="59"/>
    </row>
    <row r="86" spans="1:14" ht="76.5" x14ac:dyDescent="0.2">
      <c r="A86" s="59"/>
      <c r="B86" s="121" t="s">
        <v>124</v>
      </c>
      <c r="C86" s="222">
        <f>C78</f>
        <v>6.925204038440774</v>
      </c>
      <c r="D86" s="59"/>
      <c r="E86" s="173">
        <f>C86/C87</f>
        <v>0.36827206904323112</v>
      </c>
      <c r="F86" s="59"/>
      <c r="G86" s="59"/>
      <c r="H86" s="59"/>
      <c r="I86" s="59"/>
      <c r="J86" s="59"/>
      <c r="K86" s="59"/>
      <c r="L86" s="59"/>
      <c r="M86" s="59"/>
      <c r="N86" s="59"/>
    </row>
    <row r="87" spans="1:14" ht="13.5" thickBot="1" x14ac:dyDescent="0.3">
      <c r="A87" s="59"/>
      <c r="B87" s="122" t="s">
        <v>201</v>
      </c>
      <c r="C87" s="369">
        <f>SUM(C82:C86)</f>
        <v>18.804586664507077</v>
      </c>
      <c r="D87" s="116"/>
      <c r="E87" s="174">
        <f>SUM(E82:E86)</f>
        <v>0.99999999999999978</v>
      </c>
      <c r="F87" s="59"/>
      <c r="G87" s="59"/>
      <c r="H87" s="59"/>
      <c r="I87" s="59"/>
      <c r="J87" s="59"/>
      <c r="K87" s="59"/>
      <c r="L87" s="59"/>
      <c r="M87" s="59"/>
      <c r="N87" s="59"/>
    </row>
    <row r="88" spans="1:14" x14ac:dyDescent="0.25">
      <c r="A88" s="59"/>
      <c r="B88" s="59"/>
      <c r="C88" s="449"/>
      <c r="D88" s="449"/>
      <c r="E88" s="123"/>
      <c r="F88" s="59"/>
      <c r="G88" s="59"/>
      <c r="H88" s="59"/>
      <c r="I88" s="59"/>
      <c r="J88" s="59"/>
      <c r="K88" s="59"/>
      <c r="L88" s="59"/>
      <c r="M88" s="59"/>
      <c r="N88" s="59"/>
    </row>
    <row r="89" spans="1:14" ht="15.75" customHeight="1" x14ac:dyDescent="0.25">
      <c r="A89" s="59"/>
      <c r="B89" s="59"/>
      <c r="C89" s="449"/>
      <c r="D89" s="449"/>
      <c r="E89" s="123"/>
      <c r="F89" s="59"/>
      <c r="G89" s="59"/>
      <c r="H89" s="59"/>
      <c r="I89" s="59"/>
      <c r="J89" s="59"/>
      <c r="K89" s="59"/>
      <c r="L89" s="59"/>
      <c r="M89" s="59"/>
      <c r="N89" s="59"/>
    </row>
    <row r="90" spans="1:14" x14ac:dyDescent="0.25">
      <c r="A90" s="59"/>
      <c r="B90" s="59"/>
      <c r="C90" s="449"/>
      <c r="D90" s="449"/>
      <c r="E90" s="123"/>
      <c r="F90" s="59"/>
      <c r="G90" s="59"/>
      <c r="H90" s="59"/>
      <c r="I90" s="59"/>
      <c r="J90" s="59"/>
      <c r="K90" s="59"/>
      <c r="L90" s="59"/>
      <c r="M90" s="59"/>
      <c r="N90" s="59"/>
    </row>
    <row r="91" spans="1:14" x14ac:dyDescent="0.25">
      <c r="A91" s="59"/>
      <c r="B91" s="59"/>
      <c r="C91" s="449"/>
      <c r="D91" s="449"/>
      <c r="E91" s="123"/>
      <c r="F91" s="59"/>
      <c r="G91" s="59"/>
      <c r="H91" s="59"/>
      <c r="I91" s="59"/>
      <c r="J91" s="59"/>
      <c r="K91" s="59"/>
      <c r="L91" s="59"/>
      <c r="M91" s="59"/>
      <c r="N91" s="59"/>
    </row>
    <row r="92" spans="1:14" x14ac:dyDescent="0.25">
      <c r="A92" s="59"/>
      <c r="B92" s="59"/>
      <c r="C92" s="449"/>
      <c r="D92" s="449"/>
      <c r="E92" s="59"/>
      <c r="F92" s="59"/>
      <c r="G92" s="59"/>
      <c r="H92" s="59"/>
      <c r="I92" s="59"/>
      <c r="J92" s="59"/>
      <c r="K92" s="59"/>
      <c r="L92" s="59"/>
      <c r="M92" s="59"/>
      <c r="N92" s="59"/>
    </row>
    <row r="93" spans="1:14" x14ac:dyDescent="0.25">
      <c r="A93" s="59"/>
      <c r="B93" s="59"/>
      <c r="C93" s="449"/>
      <c r="D93" s="449"/>
      <c r="E93" s="59"/>
      <c r="F93" s="59"/>
      <c r="G93" s="59"/>
      <c r="H93" s="59"/>
      <c r="I93" s="59"/>
      <c r="J93" s="59"/>
      <c r="K93" s="59"/>
      <c r="L93" s="59"/>
      <c r="M93" s="59"/>
      <c r="N93" s="59"/>
    </row>
    <row r="94" spans="1:14" x14ac:dyDescent="0.25">
      <c r="A94" s="59"/>
      <c r="B94" s="59"/>
      <c r="C94" s="449"/>
      <c r="D94" s="449"/>
      <c r="E94" s="59"/>
      <c r="F94" s="59"/>
      <c r="G94" s="59"/>
      <c r="H94" s="59"/>
      <c r="I94" s="59"/>
      <c r="J94" s="59"/>
      <c r="K94" s="59"/>
      <c r="L94" s="59"/>
      <c r="M94" s="59"/>
      <c r="N94" s="59"/>
    </row>
    <row r="95" spans="1:14" x14ac:dyDescent="0.25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</row>
  </sheetData>
  <mergeCells count="26">
    <mergeCell ref="K6:K8"/>
    <mergeCell ref="A13:B13"/>
    <mergeCell ref="A15:J15"/>
    <mergeCell ref="A1:J1"/>
    <mergeCell ref="A4:J4"/>
    <mergeCell ref="A6:A8"/>
    <mergeCell ref="C6:C8"/>
    <mergeCell ref="D6:D8"/>
    <mergeCell ref="E6:E8"/>
    <mergeCell ref="F6:F8"/>
    <mergeCell ref="G6:G8"/>
    <mergeCell ref="H6:H8"/>
    <mergeCell ref="J6:J8"/>
    <mergeCell ref="I6:I8"/>
    <mergeCell ref="A20:B20"/>
    <mergeCell ref="C92:D92"/>
    <mergeCell ref="C93:D93"/>
    <mergeCell ref="C94:D94"/>
    <mergeCell ref="B59:J59"/>
    <mergeCell ref="C88:D88"/>
    <mergeCell ref="C89:D89"/>
    <mergeCell ref="C90:D90"/>
    <mergeCell ref="C91:D91"/>
    <mergeCell ref="B72:G72"/>
    <mergeCell ref="C54:H54"/>
    <mergeCell ref="A23:K23"/>
  </mergeCells>
  <pageMargins left="0.43307086614173229" right="0" top="0.51181102362204722" bottom="0" header="0.51181102362204722" footer="0.19685039370078741"/>
  <pageSetup paperSize="9" scale="70" orientation="portrait" r:id="rId1"/>
  <headerFooter alignWithMargins="0"/>
  <rowBreaks count="2" manualBreakCount="2">
    <brk id="53" max="9" man="1"/>
    <brk id="88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view="pageBreakPreview" topLeftCell="A25" zoomScale="80" zoomScaleNormal="100" zoomScaleSheetLayoutView="80" workbookViewId="0">
      <selection activeCell="C48" sqref="C48"/>
    </sheetView>
  </sheetViews>
  <sheetFormatPr defaultRowHeight="15" x14ac:dyDescent="0.25"/>
  <cols>
    <col min="2" max="2" width="26.5703125" customWidth="1"/>
    <col min="8" max="8" width="11.140625" customWidth="1"/>
  </cols>
  <sheetData>
    <row r="1" spans="1:10" ht="15.75" x14ac:dyDescent="0.25">
      <c r="A1" s="482" t="s">
        <v>240</v>
      </c>
      <c r="B1" s="482"/>
      <c r="C1" s="482"/>
      <c r="D1" s="482"/>
      <c r="E1" s="482"/>
      <c r="F1" s="482"/>
      <c r="G1" s="482"/>
      <c r="H1" s="482"/>
      <c r="I1" s="482"/>
      <c r="J1" s="482"/>
    </row>
    <row r="2" spans="1:10" x14ac:dyDescent="0.25">
      <c r="A2" s="162" t="s">
        <v>136</v>
      </c>
    </row>
    <row r="3" spans="1:10" ht="94.5" x14ac:dyDescent="0.25">
      <c r="A3" s="154" t="s">
        <v>208</v>
      </c>
      <c r="B3" s="154" t="s">
        <v>209</v>
      </c>
      <c r="C3" s="154" t="s">
        <v>210</v>
      </c>
      <c r="D3" s="154" t="s">
        <v>211</v>
      </c>
      <c r="E3" s="154" t="s">
        <v>212</v>
      </c>
      <c r="F3" s="154" t="s">
        <v>213</v>
      </c>
      <c r="G3" s="154" t="s">
        <v>214</v>
      </c>
      <c r="H3" s="154" t="s">
        <v>215</v>
      </c>
      <c r="I3" s="154" t="s">
        <v>216</v>
      </c>
      <c r="J3" s="154" t="s">
        <v>217</v>
      </c>
    </row>
    <row r="4" spans="1:10" ht="15.75" x14ac:dyDescent="0.25">
      <c r="A4" s="483" t="s">
        <v>218</v>
      </c>
      <c r="B4" s="483"/>
      <c r="C4" s="483"/>
      <c r="D4" s="483"/>
      <c r="E4" s="483"/>
      <c r="F4" s="483"/>
      <c r="G4" s="483"/>
      <c r="H4" s="483"/>
      <c r="I4" s="483"/>
      <c r="J4" s="483"/>
    </row>
    <row r="5" spans="1:10" ht="22.5" customHeight="1" x14ac:dyDescent="0.25">
      <c r="A5" s="154">
        <v>1</v>
      </c>
      <c r="B5" s="155" t="s">
        <v>219</v>
      </c>
      <c r="C5" s="154" t="s">
        <v>220</v>
      </c>
      <c r="D5" s="154">
        <v>2</v>
      </c>
      <c r="E5" s="154">
        <v>1</v>
      </c>
      <c r="F5" s="154">
        <v>2</v>
      </c>
      <c r="G5" s="154">
        <v>0.17</v>
      </c>
      <c r="H5" s="154">
        <v>8.0999999999999996E-3</v>
      </c>
      <c r="I5" s="275">
        <f>'присмотр МДОО'!I5</f>
        <v>84</v>
      </c>
      <c r="J5" s="157">
        <f>I5*H5</f>
        <v>0.6804</v>
      </c>
    </row>
    <row r="6" spans="1:10" ht="15.75" x14ac:dyDescent="0.25">
      <c r="A6" s="483" t="s">
        <v>156</v>
      </c>
      <c r="B6" s="483"/>
      <c r="C6" s="154"/>
      <c r="D6" s="154"/>
      <c r="E6" s="154"/>
      <c r="F6" s="154"/>
      <c r="G6" s="154"/>
      <c r="H6" s="154"/>
      <c r="I6" s="154"/>
      <c r="J6" s="158">
        <f>J5</f>
        <v>0.6804</v>
      </c>
    </row>
    <row r="7" spans="1:10" ht="94.5" x14ac:dyDescent="0.25">
      <c r="A7" s="154" t="s">
        <v>221</v>
      </c>
      <c r="B7" s="154" t="s">
        <v>209</v>
      </c>
      <c r="C7" s="154" t="s">
        <v>210</v>
      </c>
      <c r="D7" s="154" t="s">
        <v>211</v>
      </c>
      <c r="E7" s="154" t="s">
        <v>212</v>
      </c>
      <c r="F7" s="154" t="s">
        <v>213</v>
      </c>
      <c r="G7" s="154" t="s">
        <v>222</v>
      </c>
      <c r="H7" s="154" t="s">
        <v>223</v>
      </c>
      <c r="I7" s="154" t="s">
        <v>216</v>
      </c>
      <c r="J7" s="154" t="s">
        <v>217</v>
      </c>
    </row>
    <row r="8" spans="1:10" ht="15.75" customHeight="1" x14ac:dyDescent="0.25">
      <c r="A8" s="484" t="s">
        <v>224</v>
      </c>
      <c r="B8" s="485"/>
      <c r="C8" s="485"/>
      <c r="D8" s="485"/>
      <c r="E8" s="485"/>
      <c r="F8" s="485"/>
      <c r="G8" s="485"/>
      <c r="H8" s="485"/>
      <c r="I8" s="485"/>
      <c r="J8" s="486"/>
    </row>
    <row r="9" spans="1:10" ht="18.75" customHeight="1" x14ac:dyDescent="0.25">
      <c r="A9" s="154">
        <v>1</v>
      </c>
      <c r="B9" s="155" t="s">
        <v>225</v>
      </c>
      <c r="C9" s="156" t="s">
        <v>97</v>
      </c>
      <c r="D9" s="156">
        <v>40</v>
      </c>
      <c r="E9" s="156">
        <v>3</v>
      </c>
      <c r="F9" s="156">
        <v>13.3</v>
      </c>
      <c r="G9" s="156">
        <v>1.1100000000000001</v>
      </c>
      <c r="H9" s="156">
        <v>5.0000000000000001E-4</v>
      </c>
      <c r="I9" s="276">
        <f>'присмотр МДОО'!I16</f>
        <v>99</v>
      </c>
      <c r="J9" s="159">
        <f>I9*H9</f>
        <v>4.9500000000000002E-2</v>
      </c>
    </row>
    <row r="10" spans="1:10" ht="18.75" customHeight="1" x14ac:dyDescent="0.25">
      <c r="A10" s="154">
        <v>2</v>
      </c>
      <c r="B10" s="155" t="s">
        <v>226</v>
      </c>
      <c r="C10" s="156" t="s">
        <v>97</v>
      </c>
      <c r="D10" s="156">
        <v>20</v>
      </c>
      <c r="E10" s="156">
        <v>1</v>
      </c>
      <c r="F10" s="156">
        <v>20</v>
      </c>
      <c r="G10" s="156">
        <v>1.67</v>
      </c>
      <c r="H10" s="156">
        <v>8.0000000000000004E-4</v>
      </c>
      <c r="I10" s="276">
        <f>'присмотр МДОО'!I17</f>
        <v>89</v>
      </c>
      <c r="J10" s="159">
        <f t="shared" ref="J10:J12" si="0">I10*H10</f>
        <v>7.1199999999999999E-2</v>
      </c>
    </row>
    <row r="11" spans="1:10" ht="18.75" customHeight="1" x14ac:dyDescent="0.25">
      <c r="A11" s="154">
        <v>3</v>
      </c>
      <c r="B11" s="155" t="s">
        <v>161</v>
      </c>
      <c r="C11" s="156" t="s">
        <v>162</v>
      </c>
      <c r="D11" s="156">
        <v>30</v>
      </c>
      <c r="E11" s="156">
        <v>5</v>
      </c>
      <c r="F11" s="156">
        <v>6</v>
      </c>
      <c r="G11" s="156">
        <v>0.5</v>
      </c>
      <c r="H11" s="156">
        <v>2.0000000000000001E-4</v>
      </c>
      <c r="I11" s="276">
        <f>'присмотр МДОО'!I18</f>
        <v>33.4</v>
      </c>
      <c r="J11" s="159">
        <f t="shared" si="0"/>
        <v>6.6800000000000002E-3</v>
      </c>
    </row>
    <row r="12" spans="1:10" ht="69" customHeight="1" x14ac:dyDescent="0.25">
      <c r="A12" s="154">
        <v>4</v>
      </c>
      <c r="B12" s="155" t="s">
        <v>163</v>
      </c>
      <c r="C12" s="156" t="s">
        <v>162</v>
      </c>
      <c r="D12" s="156">
        <v>250</v>
      </c>
      <c r="E12" s="156">
        <v>3</v>
      </c>
      <c r="F12" s="156">
        <v>83.3</v>
      </c>
      <c r="G12" s="156">
        <v>6.94</v>
      </c>
      <c r="H12" s="156">
        <v>3.3999999999999998E-3</v>
      </c>
      <c r="I12" s="276">
        <f>'присмотр МДОО'!I19</f>
        <v>128</v>
      </c>
      <c r="J12" s="159">
        <f t="shared" si="0"/>
        <v>0.43519999999999998</v>
      </c>
    </row>
    <row r="13" spans="1:10" ht="15.75" x14ac:dyDescent="0.25">
      <c r="A13" s="483" t="s">
        <v>156</v>
      </c>
      <c r="B13" s="483"/>
      <c r="C13" s="156"/>
      <c r="D13" s="156"/>
      <c r="E13" s="156"/>
      <c r="F13" s="156"/>
      <c r="G13" s="156"/>
      <c r="H13" s="156"/>
      <c r="I13" s="156"/>
      <c r="J13" s="160">
        <f>SUM(J9:J12)</f>
        <v>0.56257999999999997</v>
      </c>
    </row>
    <row r="14" spans="1:10" ht="33" customHeight="1" x14ac:dyDescent="0.25">
      <c r="A14" s="483" t="s">
        <v>227</v>
      </c>
      <c r="B14" s="483"/>
      <c r="C14" s="154"/>
      <c r="D14" s="154"/>
      <c r="E14" s="154"/>
      <c r="F14" s="154"/>
      <c r="G14" s="154"/>
      <c r="H14" s="154"/>
      <c r="I14" s="154"/>
      <c r="J14" s="158">
        <f>J13+J6</f>
        <v>1.24298</v>
      </c>
    </row>
    <row r="18" spans="1:10" ht="15.75" thickBot="1" x14ac:dyDescent="0.3">
      <c r="A18" s="162" t="s">
        <v>164</v>
      </c>
    </row>
    <row r="19" spans="1:10" ht="45.75" customHeight="1" x14ac:dyDescent="0.25">
      <c r="A19" s="55" t="s">
        <v>137</v>
      </c>
      <c r="B19" s="56" t="s">
        <v>138</v>
      </c>
      <c r="C19" s="56" t="s">
        <v>139</v>
      </c>
      <c r="D19" s="56" t="s">
        <v>166</v>
      </c>
      <c r="E19" s="161" t="s">
        <v>167</v>
      </c>
      <c r="F19" s="94" t="s">
        <v>168</v>
      </c>
      <c r="G19" s="94" t="s">
        <v>145</v>
      </c>
      <c r="H19" s="95" t="s">
        <v>169</v>
      </c>
    </row>
    <row r="20" spans="1:10" x14ac:dyDescent="0.25">
      <c r="A20" s="97"/>
      <c r="B20" s="98" t="s">
        <v>170</v>
      </c>
      <c r="C20" s="62"/>
      <c r="D20" s="62"/>
      <c r="E20" s="99"/>
      <c r="F20" s="62"/>
      <c r="G20" s="62"/>
      <c r="H20" s="100"/>
    </row>
    <row r="21" spans="1:10" ht="14.25" customHeight="1" x14ac:dyDescent="0.25">
      <c r="A21" s="60">
        <v>1</v>
      </c>
      <c r="B21" s="61" t="s">
        <v>171</v>
      </c>
      <c r="C21" s="62" t="s">
        <v>172</v>
      </c>
      <c r="D21" s="63">
        <v>2</v>
      </c>
      <c r="E21" s="63">
        <f>D21/20</f>
        <v>0.1</v>
      </c>
      <c r="F21" s="102">
        <f>E21/20.58</f>
        <v>4.8590864917395539E-3</v>
      </c>
      <c r="G21" s="277">
        <f>'присмотр МДОО'!G29</f>
        <v>54.24</v>
      </c>
      <c r="H21" s="100">
        <f>F21*G21</f>
        <v>0.26355685131195339</v>
      </c>
    </row>
    <row r="22" spans="1:10" ht="14.25" customHeight="1" x14ac:dyDescent="0.25">
      <c r="A22" s="60">
        <v>2</v>
      </c>
      <c r="B22" s="61" t="s">
        <v>173</v>
      </c>
      <c r="C22" s="62" t="s">
        <v>172</v>
      </c>
      <c r="D22" s="63">
        <v>5</v>
      </c>
      <c r="E22" s="63">
        <f t="shared" ref="E22:E28" si="1">D22/20</f>
        <v>0.25</v>
      </c>
      <c r="F22" s="102">
        <f t="shared" ref="F22:F28" si="2">E22/20.58</f>
        <v>1.2147716229348883E-2</v>
      </c>
      <c r="G22" s="277">
        <f>'присмотр МДОО'!G30</f>
        <v>60.47</v>
      </c>
      <c r="H22" s="100">
        <f t="shared" ref="H22:H28" si="3">F22*G22</f>
        <v>0.73457240038872695</v>
      </c>
    </row>
    <row r="23" spans="1:10" ht="14.25" customHeight="1" x14ac:dyDescent="0.25">
      <c r="A23" s="60">
        <v>3</v>
      </c>
      <c r="B23" s="61" t="s">
        <v>174</v>
      </c>
      <c r="C23" s="62" t="s">
        <v>175</v>
      </c>
      <c r="D23" s="63">
        <v>1</v>
      </c>
      <c r="E23" s="63">
        <f t="shared" si="1"/>
        <v>0.05</v>
      </c>
      <c r="F23" s="102">
        <f t="shared" si="2"/>
        <v>2.4295432458697769E-3</v>
      </c>
      <c r="G23" s="277">
        <f>'присмотр МДОО'!G31</f>
        <v>257.27</v>
      </c>
      <c r="H23" s="100">
        <f t="shared" si="3"/>
        <v>0.62504859086491749</v>
      </c>
    </row>
    <row r="24" spans="1:10" ht="14.25" customHeight="1" x14ac:dyDescent="0.25">
      <c r="A24" s="60">
        <v>4</v>
      </c>
      <c r="B24" s="61" t="s">
        <v>176</v>
      </c>
      <c r="C24" s="62" t="s">
        <v>175</v>
      </c>
      <c r="D24" s="63">
        <v>1</v>
      </c>
      <c r="E24" s="63">
        <f t="shared" si="1"/>
        <v>0.05</v>
      </c>
      <c r="F24" s="102">
        <f t="shared" si="2"/>
        <v>2.4295432458697769E-3</v>
      </c>
      <c r="G24" s="277">
        <f>'присмотр МДОО'!G32</f>
        <v>69</v>
      </c>
      <c r="H24" s="100">
        <f t="shared" si="3"/>
        <v>0.1676384839650146</v>
      </c>
    </row>
    <row r="25" spans="1:10" ht="14.25" customHeight="1" x14ac:dyDescent="0.25">
      <c r="A25" s="60">
        <v>5</v>
      </c>
      <c r="B25" s="61" t="s">
        <v>177</v>
      </c>
      <c r="C25" s="62" t="s">
        <v>178</v>
      </c>
      <c r="D25" s="63">
        <v>1</v>
      </c>
      <c r="E25" s="63">
        <f t="shared" si="1"/>
        <v>0.05</v>
      </c>
      <c r="F25" s="102">
        <f t="shared" si="2"/>
        <v>2.4295432458697769E-3</v>
      </c>
      <c r="G25" s="277">
        <f>'присмотр МДОО'!G33</f>
        <v>55</v>
      </c>
      <c r="H25" s="100">
        <f t="shared" si="3"/>
        <v>0.13362487852283772</v>
      </c>
    </row>
    <row r="26" spans="1:10" ht="14.25" customHeight="1" x14ac:dyDescent="0.25">
      <c r="A26" s="60">
        <v>6</v>
      </c>
      <c r="B26" s="61" t="s">
        <v>179</v>
      </c>
      <c r="C26" s="62" t="s">
        <v>97</v>
      </c>
      <c r="D26" s="63">
        <v>3</v>
      </c>
      <c r="E26" s="63">
        <f t="shared" si="1"/>
        <v>0.15</v>
      </c>
      <c r="F26" s="102">
        <f t="shared" si="2"/>
        <v>7.28862973760933E-3</v>
      </c>
      <c r="G26" s="277">
        <f>'присмотр МДОО'!G34</f>
        <v>26.7</v>
      </c>
      <c r="H26" s="100">
        <f t="shared" si="3"/>
        <v>0.19460641399416911</v>
      </c>
    </row>
    <row r="27" spans="1:10" ht="14.25" customHeight="1" x14ac:dyDescent="0.25">
      <c r="A27" s="60">
        <v>7</v>
      </c>
      <c r="B27" s="61" t="s">
        <v>180</v>
      </c>
      <c r="C27" s="62" t="s">
        <v>97</v>
      </c>
      <c r="D27" s="63">
        <v>1</v>
      </c>
      <c r="E27" s="63">
        <f t="shared" si="1"/>
        <v>0.05</v>
      </c>
      <c r="F27" s="102">
        <f t="shared" si="2"/>
        <v>2.4295432458697769E-3</v>
      </c>
      <c r="G27" s="277">
        <f>'присмотр МДОО'!G35</f>
        <v>27</v>
      </c>
      <c r="H27" s="100">
        <f t="shared" si="3"/>
        <v>6.5597667638483972E-2</v>
      </c>
    </row>
    <row r="28" spans="1:10" ht="27.75" customHeight="1" x14ac:dyDescent="0.25">
      <c r="A28" s="60">
        <v>8</v>
      </c>
      <c r="B28" s="61" t="s">
        <v>181</v>
      </c>
      <c r="C28" s="62" t="s">
        <v>162</v>
      </c>
      <c r="D28" s="63">
        <v>0.5</v>
      </c>
      <c r="E28" s="63">
        <f t="shared" si="1"/>
        <v>2.5000000000000001E-2</v>
      </c>
      <c r="F28" s="102">
        <f t="shared" si="2"/>
        <v>1.2147716229348885E-3</v>
      </c>
      <c r="G28" s="277">
        <f>'присмотр МДОО'!G36</f>
        <v>83</v>
      </c>
      <c r="H28" s="100">
        <f t="shared" si="3"/>
        <v>0.10082604470359574</v>
      </c>
    </row>
    <row r="29" spans="1:10" ht="15.75" thickBot="1" x14ac:dyDescent="0.3">
      <c r="A29" s="104"/>
      <c r="B29" s="105"/>
      <c r="C29" s="105"/>
      <c r="D29" s="105"/>
      <c r="E29" s="105"/>
      <c r="F29" s="105"/>
      <c r="G29" s="105"/>
      <c r="H29" s="130">
        <f>SUM(H21:H28)</f>
        <v>2.285471331389699</v>
      </c>
    </row>
    <row r="31" spans="1:10" ht="15.75" thickBot="1" x14ac:dyDescent="0.3">
      <c r="A31" s="162" t="s">
        <v>189</v>
      </c>
    </row>
    <row r="32" spans="1:10" ht="64.5" x14ac:dyDescent="0.25">
      <c r="A32" s="55" t="s">
        <v>137</v>
      </c>
      <c r="B32" s="56" t="s">
        <v>138</v>
      </c>
      <c r="C32" s="56" t="s">
        <v>139</v>
      </c>
      <c r="D32" s="56" t="s">
        <v>140</v>
      </c>
      <c r="E32" s="56" t="s">
        <v>141</v>
      </c>
      <c r="F32" s="56" t="s">
        <v>142</v>
      </c>
      <c r="G32" s="113" t="s">
        <v>190</v>
      </c>
      <c r="H32" s="56" t="s">
        <v>191</v>
      </c>
      <c r="I32" s="56" t="s">
        <v>145</v>
      </c>
      <c r="J32" s="57" t="s">
        <v>192</v>
      </c>
    </row>
    <row r="33" spans="1:10" ht="15.75" x14ac:dyDescent="0.25">
      <c r="A33" s="60">
        <v>1</v>
      </c>
      <c r="B33" s="133" t="s">
        <v>193</v>
      </c>
      <c r="C33" s="61" t="s">
        <v>97</v>
      </c>
      <c r="D33" s="61">
        <v>1</v>
      </c>
      <c r="E33" s="61">
        <v>5</v>
      </c>
      <c r="F33" s="61">
        <v>0.2</v>
      </c>
      <c r="G33" s="61">
        <f>F33/12</f>
        <v>1.6666666666666666E-2</v>
      </c>
      <c r="H33" s="114">
        <f>G33/20.58</f>
        <v>8.0984774862325891E-4</v>
      </c>
      <c r="I33" s="278">
        <f>'присмотр МДОО'!I62</f>
        <v>84.5</v>
      </c>
      <c r="J33" s="66">
        <f>H33*I33</f>
        <v>6.8432134758665372E-2</v>
      </c>
    </row>
    <row r="34" spans="1:10" ht="15.75" customHeight="1" x14ac:dyDescent="0.25">
      <c r="A34" s="60">
        <v>2</v>
      </c>
      <c r="B34" s="129" t="s">
        <v>194</v>
      </c>
      <c r="C34" s="61" t="s">
        <v>97</v>
      </c>
      <c r="D34" s="61">
        <v>1</v>
      </c>
      <c r="E34" s="61">
        <v>5</v>
      </c>
      <c r="F34" s="61">
        <v>0.2</v>
      </c>
      <c r="G34" s="61">
        <f t="shared" ref="G34:G40" si="4">F34/12</f>
        <v>1.6666666666666666E-2</v>
      </c>
      <c r="H34" s="114">
        <f t="shared" ref="H34:H40" si="5">G34/20.58</f>
        <v>8.0984774862325891E-4</v>
      </c>
      <c r="I34" s="278">
        <f>'присмотр МДОО'!I63</f>
        <v>23</v>
      </c>
      <c r="J34" s="66">
        <f>H34*I34</f>
        <v>1.8626498218334956E-2</v>
      </c>
    </row>
    <row r="35" spans="1:10" x14ac:dyDescent="0.25">
      <c r="A35" s="60">
        <v>3</v>
      </c>
      <c r="B35" s="61" t="s">
        <v>195</v>
      </c>
      <c r="C35" s="61" t="s">
        <v>97</v>
      </c>
      <c r="D35" s="61">
        <v>1</v>
      </c>
      <c r="E35" s="61">
        <v>5</v>
      </c>
      <c r="F35" s="61">
        <v>0.2</v>
      </c>
      <c r="G35" s="61">
        <f t="shared" si="4"/>
        <v>1.6666666666666666E-2</v>
      </c>
      <c r="H35" s="114">
        <f t="shared" si="5"/>
        <v>8.0984774862325891E-4</v>
      </c>
      <c r="I35" s="278">
        <f>'присмотр МДОО'!I64</f>
        <v>29</v>
      </c>
      <c r="J35" s="66">
        <f t="shared" ref="J35:J39" si="6">H35*I35</f>
        <v>2.348558471007451E-2</v>
      </c>
    </row>
    <row r="36" spans="1:10" x14ac:dyDescent="0.25">
      <c r="A36" s="60">
        <v>4</v>
      </c>
      <c r="B36" s="61" t="s">
        <v>196</v>
      </c>
      <c r="C36" s="61" t="s">
        <v>97</v>
      </c>
      <c r="D36" s="61">
        <v>1</v>
      </c>
      <c r="E36" s="61">
        <v>5</v>
      </c>
      <c r="F36" s="61">
        <v>0.2</v>
      </c>
      <c r="G36" s="61">
        <f t="shared" si="4"/>
        <v>1.6666666666666666E-2</v>
      </c>
      <c r="H36" s="114">
        <f t="shared" si="5"/>
        <v>8.0984774862325891E-4</v>
      </c>
      <c r="I36" s="278">
        <f>'присмотр МДОО'!I65</f>
        <v>129.5</v>
      </c>
      <c r="J36" s="66">
        <f t="shared" si="6"/>
        <v>0.10487528344671203</v>
      </c>
    </row>
    <row r="37" spans="1:10" x14ac:dyDescent="0.25">
      <c r="A37" s="60">
        <v>5</v>
      </c>
      <c r="B37" s="61" t="s">
        <v>197</v>
      </c>
      <c r="C37" s="61" t="s">
        <v>97</v>
      </c>
      <c r="D37" s="61">
        <v>1</v>
      </c>
      <c r="E37" s="61">
        <v>1</v>
      </c>
      <c r="F37" s="61">
        <v>1</v>
      </c>
      <c r="G37" s="61">
        <f t="shared" si="4"/>
        <v>8.3333333333333329E-2</v>
      </c>
      <c r="H37" s="114">
        <f t="shared" si="5"/>
        <v>4.0492387431162943E-3</v>
      </c>
      <c r="I37" s="278">
        <f>'присмотр МДОО'!I66</f>
        <v>129</v>
      </c>
      <c r="J37" s="66">
        <f t="shared" si="6"/>
        <v>0.52235179786200192</v>
      </c>
    </row>
    <row r="38" spans="1:10" x14ac:dyDescent="0.25">
      <c r="A38" s="60">
        <v>6</v>
      </c>
      <c r="B38" s="61" t="s">
        <v>198</v>
      </c>
      <c r="C38" s="61" t="s">
        <v>97</v>
      </c>
      <c r="D38" s="61">
        <v>1</v>
      </c>
      <c r="E38" s="61">
        <v>1</v>
      </c>
      <c r="F38" s="61">
        <v>1</v>
      </c>
      <c r="G38" s="61">
        <f t="shared" si="4"/>
        <v>8.3333333333333329E-2</v>
      </c>
      <c r="H38" s="114">
        <f t="shared" si="5"/>
        <v>4.0492387431162943E-3</v>
      </c>
      <c r="I38" s="278">
        <f>'присмотр МДОО'!I67</f>
        <v>108.66666666666667</v>
      </c>
      <c r="J38" s="66">
        <f t="shared" si="6"/>
        <v>0.44001727675197067</v>
      </c>
    </row>
    <row r="39" spans="1:10" x14ac:dyDescent="0.25">
      <c r="A39" s="60">
        <v>7</v>
      </c>
      <c r="B39" s="61" t="s">
        <v>199</v>
      </c>
      <c r="C39" s="61" t="s">
        <v>97</v>
      </c>
      <c r="D39" s="61">
        <v>1</v>
      </c>
      <c r="E39" s="61">
        <v>1</v>
      </c>
      <c r="F39" s="61">
        <v>1</v>
      </c>
      <c r="G39" s="61">
        <f t="shared" si="4"/>
        <v>8.3333333333333329E-2</v>
      </c>
      <c r="H39" s="114">
        <f t="shared" si="5"/>
        <v>4.0492387431162943E-3</v>
      </c>
      <c r="I39" s="278">
        <f>'присмотр МДОО'!I68</f>
        <v>61.666666666666664</v>
      </c>
      <c r="J39" s="66">
        <f t="shared" si="6"/>
        <v>0.24970305582550481</v>
      </c>
    </row>
    <row r="40" spans="1:10" x14ac:dyDescent="0.25">
      <c r="A40" s="60">
        <v>8</v>
      </c>
      <c r="B40" s="61" t="s">
        <v>200</v>
      </c>
      <c r="C40" s="61" t="s">
        <v>97</v>
      </c>
      <c r="D40" s="61">
        <v>1</v>
      </c>
      <c r="E40" s="61">
        <v>1</v>
      </c>
      <c r="F40" s="61">
        <v>1</v>
      </c>
      <c r="G40" s="61">
        <f t="shared" si="4"/>
        <v>8.3333333333333329E-2</v>
      </c>
      <c r="H40" s="114">
        <f t="shared" si="5"/>
        <v>4.0492387431162943E-3</v>
      </c>
      <c r="I40" s="278">
        <f>'присмотр МДОО'!I69</f>
        <v>78.245999999999995</v>
      </c>
      <c r="J40" s="66">
        <f>H40*I40</f>
        <v>0.31683673469387752</v>
      </c>
    </row>
    <row r="41" spans="1:10" ht="15.75" thickBot="1" x14ac:dyDescent="0.3">
      <c r="A41" s="104"/>
      <c r="B41" s="105"/>
      <c r="C41" s="105"/>
      <c r="D41" s="105"/>
      <c r="E41" s="105"/>
      <c r="F41" s="105"/>
      <c r="G41" s="105"/>
      <c r="H41" s="105"/>
      <c r="I41" s="105"/>
      <c r="J41" s="115">
        <f>SUM(J33:J40)</f>
        <v>1.7443283662671418</v>
      </c>
    </row>
    <row r="43" spans="1:10" ht="15.75" thickBot="1" x14ac:dyDescent="0.3">
      <c r="I43" s="223"/>
    </row>
    <row r="44" spans="1:10" ht="17.25" customHeight="1" x14ac:dyDescent="0.25">
      <c r="B44" s="117" t="s">
        <v>120</v>
      </c>
      <c r="C44" s="118">
        <f>J14</f>
        <v>1.24298</v>
      </c>
    </row>
    <row r="45" spans="1:10" ht="27.75" customHeight="1" x14ac:dyDescent="0.25">
      <c r="B45" s="119" t="s">
        <v>121</v>
      </c>
      <c r="C45" s="120">
        <f>H29</f>
        <v>2.285471331389699</v>
      </c>
    </row>
    <row r="46" spans="1:10" x14ac:dyDescent="0.25">
      <c r="B46" s="119" t="s">
        <v>122</v>
      </c>
      <c r="C46" s="120">
        <f>J41</f>
        <v>1.7443283662671418</v>
      </c>
    </row>
    <row r="47" spans="1:10" ht="25.5" x14ac:dyDescent="0.25">
      <c r="B47" s="119" t="s">
        <v>123</v>
      </c>
      <c r="C47" s="120">
        <v>0</v>
      </c>
    </row>
    <row r="48" spans="1:10" ht="90" customHeight="1" x14ac:dyDescent="0.25">
      <c r="B48" s="121" t="s">
        <v>124</v>
      </c>
      <c r="C48" s="213">
        <f>(J14+H29+J41)*40%</f>
        <v>2.1091118790627363</v>
      </c>
    </row>
    <row r="49" spans="2:3" ht="15.75" thickBot="1" x14ac:dyDescent="0.3">
      <c r="B49" s="122" t="s">
        <v>201</v>
      </c>
      <c r="C49" s="369">
        <f>SUM(C44:C48)</f>
        <v>7.3818915767195765</v>
      </c>
    </row>
    <row r="50" spans="2:3" x14ac:dyDescent="0.25">
      <c r="C50" s="192"/>
    </row>
  </sheetData>
  <mergeCells count="6">
    <mergeCell ref="A1:J1"/>
    <mergeCell ref="A4:J4"/>
    <mergeCell ref="A6:B6"/>
    <mergeCell ref="A13:B13"/>
    <mergeCell ref="A14:B14"/>
    <mergeCell ref="A8:J8"/>
  </mergeCells>
  <pageMargins left="0.7" right="0.7" top="0.75" bottom="0.75" header="0.3" footer="0.3"/>
  <pageSetup paperSize="9" scale="82" orientation="portrait" r:id="rId1"/>
  <rowBreaks count="1" manualBreakCount="1">
    <brk id="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view="pageBreakPreview" zoomScaleNormal="100" zoomScaleSheetLayoutView="100" workbookViewId="0">
      <selection activeCell="A9" sqref="A9:S9"/>
    </sheetView>
  </sheetViews>
  <sheetFormatPr defaultRowHeight="15" x14ac:dyDescent="0.25"/>
  <cols>
    <col min="3" max="3" width="9.85546875" customWidth="1"/>
    <col min="5" max="5" width="11" customWidth="1"/>
    <col min="12" max="12" width="9.7109375" customWidth="1"/>
    <col min="16" max="16" width="13.140625" customWidth="1"/>
    <col min="17" max="17" width="11.140625" customWidth="1"/>
    <col min="18" max="18" width="8.140625" customWidth="1"/>
    <col min="19" max="19" width="8.28515625" customWidth="1"/>
    <col min="20" max="21" width="0" hidden="1" customWidth="1"/>
  </cols>
  <sheetData>
    <row r="1" spans="1:21" ht="18.75" x14ac:dyDescent="0.3">
      <c r="A1" s="443" t="s">
        <v>292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1"/>
      <c r="U1" s="1"/>
    </row>
    <row r="2" spans="1:21" ht="20.25" x14ac:dyDescent="0.35">
      <c r="A2" s="2"/>
      <c r="B2" s="445" t="s">
        <v>104</v>
      </c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2"/>
      <c r="Q2" s="2"/>
      <c r="R2" s="2"/>
      <c r="S2" s="2"/>
      <c r="T2" s="1"/>
      <c r="U2" s="1"/>
    </row>
    <row r="3" spans="1:21" ht="18.75" x14ac:dyDescent="0.3">
      <c r="A3" s="2"/>
      <c r="B3" s="445" t="s">
        <v>245</v>
      </c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2"/>
      <c r="Q3" s="2"/>
      <c r="R3" s="2"/>
      <c r="S3" s="2"/>
      <c r="T3" s="1"/>
      <c r="U3" s="1"/>
    </row>
    <row r="4" spans="1:21" ht="20.25" x14ac:dyDescent="0.35">
      <c r="A4" s="2"/>
      <c r="B4" s="444" t="s">
        <v>105</v>
      </c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2"/>
      <c r="Q4" s="2"/>
      <c r="R4" s="2"/>
      <c r="S4" s="2"/>
      <c r="T4" s="1"/>
      <c r="U4" s="1"/>
    </row>
    <row r="5" spans="1:21" ht="18.75" x14ac:dyDescent="0.3">
      <c r="A5" s="2"/>
      <c r="B5" s="444" t="s">
        <v>106</v>
      </c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2"/>
      <c r="Q5" s="2"/>
      <c r="R5" s="2"/>
      <c r="S5" s="2"/>
      <c r="T5" s="1"/>
      <c r="U5" s="1"/>
    </row>
    <row r="6" spans="1:21" ht="34.5" customHeight="1" x14ac:dyDescent="0.3">
      <c r="A6" s="2"/>
      <c r="B6" s="446" t="s">
        <v>107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  <c r="O6" s="446"/>
      <c r="P6" s="446"/>
      <c r="Q6" s="446"/>
      <c r="R6" s="446"/>
      <c r="S6" s="446"/>
      <c r="T6" s="446"/>
      <c r="U6" s="446"/>
    </row>
    <row r="7" spans="1:21" ht="18.75" x14ac:dyDescent="0.3">
      <c r="A7" s="2"/>
      <c r="B7" s="446" t="s">
        <v>242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446"/>
      <c r="O7" s="446"/>
      <c r="P7" s="446"/>
      <c r="Q7" s="446"/>
      <c r="R7" s="446"/>
      <c r="S7" s="446"/>
      <c r="T7" s="446"/>
      <c r="U7" s="446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x14ac:dyDescent="0.25">
      <c r="A9" s="392" t="s">
        <v>228</v>
      </c>
      <c r="B9" s="392"/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392"/>
      <c r="N9" s="392"/>
      <c r="O9" s="392"/>
      <c r="P9" s="392"/>
      <c r="Q9" s="392"/>
      <c r="R9" s="392"/>
      <c r="S9" s="392"/>
      <c r="T9" s="1"/>
      <c r="U9" s="1"/>
    </row>
    <row r="10" spans="1:21" ht="15.75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68.25" customHeight="1" x14ac:dyDescent="0.25">
      <c r="A11" s="437" t="s">
        <v>109</v>
      </c>
      <c r="B11" s="440" t="s">
        <v>236</v>
      </c>
      <c r="C11" s="440" t="s">
        <v>111</v>
      </c>
      <c r="D11" s="440"/>
      <c r="E11" s="440"/>
      <c r="F11" s="440"/>
      <c r="G11" s="440"/>
      <c r="H11" s="440"/>
      <c r="I11" s="440"/>
      <c r="J11" s="440"/>
      <c r="K11" s="440"/>
      <c r="L11" s="442" t="s">
        <v>112</v>
      </c>
      <c r="M11" s="442"/>
      <c r="N11" s="442"/>
      <c r="O11" s="442"/>
      <c r="P11" s="442"/>
      <c r="Q11" s="442"/>
      <c r="R11" s="442" t="s">
        <v>113</v>
      </c>
      <c r="S11" s="442"/>
      <c r="T11" s="442" t="s">
        <v>114</v>
      </c>
      <c r="U11" s="389"/>
    </row>
    <row r="12" spans="1:21" x14ac:dyDescent="0.25">
      <c r="A12" s="438"/>
      <c r="B12" s="417"/>
      <c r="C12" s="386" t="s">
        <v>115</v>
      </c>
      <c r="D12" s="417" t="s">
        <v>116</v>
      </c>
      <c r="E12" s="417"/>
      <c r="F12" s="417"/>
      <c r="G12" s="418" t="s">
        <v>117</v>
      </c>
      <c r="H12" s="417" t="s">
        <v>118</v>
      </c>
      <c r="I12" s="417"/>
      <c r="J12" s="417"/>
      <c r="K12" s="418" t="s">
        <v>119</v>
      </c>
      <c r="L12" s="386" t="s">
        <v>120</v>
      </c>
      <c r="M12" s="386" t="s">
        <v>121</v>
      </c>
      <c r="N12" s="386" t="s">
        <v>122</v>
      </c>
      <c r="O12" s="386" t="s">
        <v>123</v>
      </c>
      <c r="P12" s="407" t="s">
        <v>124</v>
      </c>
      <c r="Q12" s="418" t="s">
        <v>125</v>
      </c>
      <c r="R12" s="386"/>
      <c r="S12" s="386"/>
      <c r="T12" s="386"/>
      <c r="U12" s="391"/>
    </row>
    <row r="13" spans="1:21" x14ac:dyDescent="0.25">
      <c r="A13" s="438"/>
      <c r="B13" s="417"/>
      <c r="C13" s="386"/>
      <c r="D13" s="412" t="s">
        <v>126</v>
      </c>
      <c r="E13" s="412" t="s">
        <v>127</v>
      </c>
      <c r="F13" s="412" t="s">
        <v>128</v>
      </c>
      <c r="G13" s="418"/>
      <c r="H13" s="412" t="s">
        <v>126</v>
      </c>
      <c r="I13" s="412" t="s">
        <v>127</v>
      </c>
      <c r="J13" s="412" t="s">
        <v>128</v>
      </c>
      <c r="K13" s="418"/>
      <c r="L13" s="386"/>
      <c r="M13" s="386"/>
      <c r="N13" s="386"/>
      <c r="O13" s="386"/>
      <c r="P13" s="407"/>
      <c r="Q13" s="418"/>
      <c r="R13" s="386"/>
      <c r="S13" s="386"/>
      <c r="T13" s="386"/>
      <c r="U13" s="391"/>
    </row>
    <row r="14" spans="1:21" ht="65.25" customHeight="1" thickBot="1" x14ac:dyDescent="0.3">
      <c r="A14" s="438"/>
      <c r="B14" s="417"/>
      <c r="C14" s="386"/>
      <c r="D14" s="412"/>
      <c r="E14" s="412"/>
      <c r="F14" s="412"/>
      <c r="G14" s="418"/>
      <c r="H14" s="412"/>
      <c r="I14" s="412"/>
      <c r="J14" s="412"/>
      <c r="K14" s="418"/>
      <c r="L14" s="386"/>
      <c r="M14" s="386"/>
      <c r="N14" s="386"/>
      <c r="O14" s="386"/>
      <c r="P14" s="407"/>
      <c r="Q14" s="418"/>
      <c r="R14" s="134" t="s">
        <v>116</v>
      </c>
      <c r="S14" s="134" t="s">
        <v>129</v>
      </c>
      <c r="T14" s="137" t="s">
        <v>116</v>
      </c>
      <c r="U14" s="138" t="s">
        <v>129</v>
      </c>
    </row>
    <row r="15" spans="1:21" ht="15.75" thickBot="1" x14ac:dyDescent="0.3">
      <c r="A15" s="139">
        <v>1</v>
      </c>
      <c r="B15" s="140"/>
      <c r="C15" s="280">
        <f>'от продуктов'!$I$36</f>
        <v>238.05310074509799</v>
      </c>
      <c r="D15" s="17">
        <v>0.8</v>
      </c>
      <c r="E15" s="17">
        <v>0.24</v>
      </c>
      <c r="F15" s="17">
        <v>0.8</v>
      </c>
      <c r="G15" s="286">
        <f>C15*D15*E15*F15</f>
        <v>36.564956274447056</v>
      </c>
      <c r="H15" s="17">
        <v>1</v>
      </c>
      <c r="I15" s="17">
        <v>0.24</v>
      </c>
      <c r="J15" s="17">
        <v>0.8</v>
      </c>
      <c r="K15" s="286">
        <f>C15*H15*I15*J15</f>
        <v>45.706195343058816</v>
      </c>
      <c r="L15" s="206">
        <f>'присмотр гр КВП'!J14</f>
        <v>1.24298</v>
      </c>
      <c r="M15" s="207">
        <f>'присмотр гр КВП'!$H$29</f>
        <v>2.285471331389699</v>
      </c>
      <c r="N15" s="206">
        <f>'присмотр гр КВП'!$J$41</f>
        <v>1.7443283662671418</v>
      </c>
      <c r="O15" s="17">
        <v>0</v>
      </c>
      <c r="P15" s="211">
        <f>'присмотр гр КВП'!$C$48</f>
        <v>2.1091118790627363</v>
      </c>
      <c r="Q15" s="286">
        <f>L15+M15+N15+O15+P15</f>
        <v>7.3818915767195765</v>
      </c>
      <c r="R15" s="286">
        <f>G15+Q15</f>
        <v>43.946847851166631</v>
      </c>
      <c r="S15" s="286">
        <f>K15+Q15</f>
        <v>53.088086919778391</v>
      </c>
      <c r="T15" s="141">
        <f>R15*1.057</f>
        <v>46.451818178683126</v>
      </c>
      <c r="U15" s="20">
        <f>S15*1.057</f>
        <v>56.114107874205757</v>
      </c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 x14ac:dyDescent="0.25">
      <c r="A18" s="392" t="s">
        <v>229</v>
      </c>
      <c r="B18" s="392"/>
      <c r="C18" s="392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1"/>
      <c r="U18" s="1"/>
    </row>
    <row r="19" spans="1:21" ht="15.75" thickBo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54" customHeight="1" x14ac:dyDescent="0.25">
      <c r="A20" s="437" t="s">
        <v>109</v>
      </c>
      <c r="B20" s="440" t="s">
        <v>236</v>
      </c>
      <c r="C20" s="440" t="s">
        <v>111</v>
      </c>
      <c r="D20" s="440"/>
      <c r="E20" s="440"/>
      <c r="F20" s="440"/>
      <c r="G20" s="440"/>
      <c r="H20" s="440"/>
      <c r="I20" s="440"/>
      <c r="J20" s="440"/>
      <c r="K20" s="440"/>
      <c r="L20" s="442" t="s">
        <v>112</v>
      </c>
      <c r="M20" s="442"/>
      <c r="N20" s="442"/>
      <c r="O20" s="442"/>
      <c r="P20" s="442"/>
      <c r="Q20" s="442"/>
      <c r="R20" s="442" t="s">
        <v>113</v>
      </c>
      <c r="S20" s="389"/>
      <c r="T20" s="404" t="s">
        <v>114</v>
      </c>
      <c r="U20" s="389"/>
    </row>
    <row r="21" spans="1:21" x14ac:dyDescent="0.25">
      <c r="A21" s="438"/>
      <c r="B21" s="417"/>
      <c r="C21" s="386" t="s">
        <v>115</v>
      </c>
      <c r="D21" s="417" t="s">
        <v>116</v>
      </c>
      <c r="E21" s="417"/>
      <c r="F21" s="417"/>
      <c r="G21" s="418" t="s">
        <v>117</v>
      </c>
      <c r="H21" s="417" t="s">
        <v>118</v>
      </c>
      <c r="I21" s="417"/>
      <c r="J21" s="417"/>
      <c r="K21" s="418" t="s">
        <v>119</v>
      </c>
      <c r="L21" s="386" t="s">
        <v>120</v>
      </c>
      <c r="M21" s="386" t="s">
        <v>121</v>
      </c>
      <c r="N21" s="386" t="s">
        <v>122</v>
      </c>
      <c r="O21" s="386" t="s">
        <v>123</v>
      </c>
      <c r="P21" s="407" t="s">
        <v>124</v>
      </c>
      <c r="Q21" s="418" t="s">
        <v>125</v>
      </c>
      <c r="R21" s="386"/>
      <c r="S21" s="391"/>
      <c r="T21" s="405"/>
      <c r="U21" s="391"/>
    </row>
    <row r="22" spans="1:21" x14ac:dyDescent="0.25">
      <c r="A22" s="438"/>
      <c r="B22" s="417"/>
      <c r="C22" s="386"/>
      <c r="D22" s="412" t="s">
        <v>126</v>
      </c>
      <c r="E22" s="412" t="s">
        <v>127</v>
      </c>
      <c r="F22" s="412" t="s">
        <v>128</v>
      </c>
      <c r="G22" s="418"/>
      <c r="H22" s="412" t="s">
        <v>126</v>
      </c>
      <c r="I22" s="412" t="s">
        <v>127</v>
      </c>
      <c r="J22" s="412" t="s">
        <v>128</v>
      </c>
      <c r="K22" s="418"/>
      <c r="L22" s="386"/>
      <c r="M22" s="386"/>
      <c r="N22" s="386"/>
      <c r="O22" s="386"/>
      <c r="P22" s="407"/>
      <c r="Q22" s="418"/>
      <c r="R22" s="386"/>
      <c r="S22" s="391"/>
      <c r="T22" s="405"/>
      <c r="U22" s="391"/>
    </row>
    <row r="23" spans="1:21" ht="61.5" customHeight="1" thickBot="1" x14ac:dyDescent="0.3">
      <c r="A23" s="438"/>
      <c r="B23" s="417"/>
      <c r="C23" s="386"/>
      <c r="D23" s="412"/>
      <c r="E23" s="412"/>
      <c r="F23" s="412"/>
      <c r="G23" s="418"/>
      <c r="H23" s="412"/>
      <c r="I23" s="412"/>
      <c r="J23" s="412"/>
      <c r="K23" s="418"/>
      <c r="L23" s="386"/>
      <c r="M23" s="386"/>
      <c r="N23" s="386"/>
      <c r="O23" s="386"/>
      <c r="P23" s="407"/>
      <c r="Q23" s="418"/>
      <c r="R23" s="134" t="s">
        <v>116</v>
      </c>
      <c r="S23" s="135" t="s">
        <v>129</v>
      </c>
      <c r="T23" s="145" t="s">
        <v>116</v>
      </c>
      <c r="U23" s="5" t="s">
        <v>129</v>
      </c>
    </row>
    <row r="24" spans="1:21" ht="15.75" thickBot="1" x14ac:dyDescent="0.3">
      <c r="A24" s="122">
        <v>1</v>
      </c>
      <c r="B24" s="150"/>
      <c r="C24" s="280">
        <f>'от продуктов'!$I$36</f>
        <v>238.05310074509799</v>
      </c>
      <c r="D24" s="17">
        <v>0.8</v>
      </c>
      <c r="E24" s="17">
        <v>0.05</v>
      </c>
      <c r="F24" s="17">
        <v>0.8</v>
      </c>
      <c r="G24" s="286">
        <f>C24*D24*E24*F24</f>
        <v>7.6176992238431369</v>
      </c>
      <c r="H24" s="17">
        <v>1</v>
      </c>
      <c r="I24" s="17">
        <v>0.05</v>
      </c>
      <c r="J24" s="17">
        <v>0.8</v>
      </c>
      <c r="K24" s="286">
        <f>C24*H24*I24*J24</f>
        <v>9.5221240298039209</v>
      </c>
      <c r="L24" s="206">
        <f>'присмотр гр КВП'!$J$14</f>
        <v>1.24298</v>
      </c>
      <c r="M24" s="207">
        <f>'присмотр гр КВП'!$H$29</f>
        <v>2.285471331389699</v>
      </c>
      <c r="N24" s="206">
        <f>'присмотр гр КВП'!$J$41</f>
        <v>1.7443283662671418</v>
      </c>
      <c r="O24" s="17">
        <v>0</v>
      </c>
      <c r="P24" s="211">
        <f>'присмотр гр КВП'!$C$48</f>
        <v>2.1091118790627363</v>
      </c>
      <c r="Q24" s="286">
        <f>L24+M24+N24+O24+P24</f>
        <v>7.3818915767195765</v>
      </c>
      <c r="R24" s="286">
        <f>G24+Q24</f>
        <v>14.999590800562714</v>
      </c>
      <c r="S24" s="293">
        <f>K24+Q24</f>
        <v>16.904015606523497</v>
      </c>
      <c r="T24" s="146">
        <f>R24*1.057</f>
        <v>15.854567476194788</v>
      </c>
      <c r="U24" s="13">
        <f>S24*1.057</f>
        <v>17.867544496095334</v>
      </c>
    </row>
    <row r="25" spans="1:2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x14ac:dyDescent="0.25">
      <c r="A27" s="392" t="s">
        <v>230</v>
      </c>
      <c r="B27" s="392"/>
      <c r="C27" s="392"/>
      <c r="D27" s="392"/>
      <c r="E27" s="392"/>
      <c r="F27" s="392"/>
      <c r="G27" s="392"/>
      <c r="H27" s="392"/>
      <c r="I27" s="392"/>
      <c r="J27" s="392"/>
      <c r="K27" s="392"/>
      <c r="L27" s="392"/>
      <c r="M27" s="392"/>
      <c r="N27" s="392"/>
      <c r="O27" s="392"/>
      <c r="P27" s="392"/>
      <c r="Q27" s="392"/>
      <c r="R27" s="392"/>
      <c r="S27" s="392"/>
      <c r="T27" s="1"/>
      <c r="U27" s="1"/>
    </row>
    <row r="28" spans="1:21" ht="15.75" thickBo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59.25" customHeight="1" x14ac:dyDescent="0.25">
      <c r="A29" s="437" t="s">
        <v>109</v>
      </c>
      <c r="B29" s="440" t="s">
        <v>236</v>
      </c>
      <c r="C29" s="440" t="s">
        <v>111</v>
      </c>
      <c r="D29" s="440"/>
      <c r="E29" s="440"/>
      <c r="F29" s="440"/>
      <c r="G29" s="440"/>
      <c r="H29" s="440"/>
      <c r="I29" s="440"/>
      <c r="J29" s="440"/>
      <c r="K29" s="440"/>
      <c r="L29" s="442" t="s">
        <v>112</v>
      </c>
      <c r="M29" s="442"/>
      <c r="N29" s="442"/>
      <c r="O29" s="442"/>
      <c r="P29" s="442"/>
      <c r="Q29" s="442"/>
      <c r="R29" s="442" t="s">
        <v>113</v>
      </c>
      <c r="S29" s="389"/>
      <c r="T29" s="388" t="s">
        <v>114</v>
      </c>
      <c r="U29" s="389"/>
    </row>
    <row r="30" spans="1:21" ht="15" customHeight="1" x14ac:dyDescent="0.25">
      <c r="A30" s="438"/>
      <c r="B30" s="417"/>
      <c r="C30" s="386" t="s">
        <v>115</v>
      </c>
      <c r="D30" s="417" t="s">
        <v>116</v>
      </c>
      <c r="E30" s="417"/>
      <c r="F30" s="417"/>
      <c r="G30" s="418" t="s">
        <v>117</v>
      </c>
      <c r="H30" s="417" t="s">
        <v>118</v>
      </c>
      <c r="I30" s="417"/>
      <c r="J30" s="417"/>
      <c r="K30" s="418" t="s">
        <v>119</v>
      </c>
      <c r="L30" s="386" t="s">
        <v>120</v>
      </c>
      <c r="M30" s="386" t="s">
        <v>121</v>
      </c>
      <c r="N30" s="386" t="s">
        <v>122</v>
      </c>
      <c r="O30" s="386" t="s">
        <v>123</v>
      </c>
      <c r="P30" s="407" t="s">
        <v>124</v>
      </c>
      <c r="Q30" s="418" t="s">
        <v>125</v>
      </c>
      <c r="R30" s="386"/>
      <c r="S30" s="391"/>
      <c r="T30" s="390"/>
      <c r="U30" s="391"/>
    </row>
    <row r="31" spans="1:21" ht="15" customHeight="1" x14ac:dyDescent="0.25">
      <c r="A31" s="438"/>
      <c r="B31" s="417"/>
      <c r="C31" s="386"/>
      <c r="D31" s="412" t="s">
        <v>126</v>
      </c>
      <c r="E31" s="412" t="s">
        <v>127</v>
      </c>
      <c r="F31" s="412" t="s">
        <v>128</v>
      </c>
      <c r="G31" s="418"/>
      <c r="H31" s="412" t="s">
        <v>126</v>
      </c>
      <c r="I31" s="412" t="s">
        <v>127</v>
      </c>
      <c r="J31" s="412" t="s">
        <v>128</v>
      </c>
      <c r="K31" s="418"/>
      <c r="L31" s="386"/>
      <c r="M31" s="386"/>
      <c r="N31" s="386"/>
      <c r="O31" s="386"/>
      <c r="P31" s="407"/>
      <c r="Q31" s="418"/>
      <c r="R31" s="386"/>
      <c r="S31" s="391"/>
      <c r="T31" s="390"/>
      <c r="U31" s="391"/>
    </row>
    <row r="32" spans="1:21" ht="50.25" customHeight="1" thickBot="1" x14ac:dyDescent="0.3">
      <c r="A32" s="438"/>
      <c r="B32" s="417"/>
      <c r="C32" s="386"/>
      <c r="D32" s="412"/>
      <c r="E32" s="412"/>
      <c r="F32" s="412"/>
      <c r="G32" s="418"/>
      <c r="H32" s="412"/>
      <c r="I32" s="412"/>
      <c r="J32" s="412"/>
      <c r="K32" s="418"/>
      <c r="L32" s="386"/>
      <c r="M32" s="386"/>
      <c r="N32" s="386"/>
      <c r="O32" s="386"/>
      <c r="P32" s="407"/>
      <c r="Q32" s="418"/>
      <c r="R32" s="134" t="s">
        <v>116</v>
      </c>
      <c r="S32" s="135" t="s">
        <v>129</v>
      </c>
      <c r="T32" s="22" t="s">
        <v>116</v>
      </c>
      <c r="U32" s="23" t="s">
        <v>129</v>
      </c>
    </row>
    <row r="33" spans="1:21" ht="15.75" thickBot="1" x14ac:dyDescent="0.3">
      <c r="A33" s="24">
        <v>1</v>
      </c>
      <c r="B33" s="25"/>
      <c r="C33" s="280">
        <f>'от продуктов'!$I$36</f>
        <v>238.05310074509799</v>
      </c>
      <c r="D33" s="7">
        <v>0.8</v>
      </c>
      <c r="E33" s="7">
        <v>0.35</v>
      </c>
      <c r="F33" s="7">
        <v>0.8</v>
      </c>
      <c r="G33" s="294">
        <f>C33*D33*E33*F33</f>
        <v>53.323894566901949</v>
      </c>
      <c r="H33" s="7">
        <v>1</v>
      </c>
      <c r="I33" s="7">
        <v>0.35</v>
      </c>
      <c r="J33" s="7">
        <v>0.8</v>
      </c>
      <c r="K33" s="296">
        <f>C33*H33*I33*J33</f>
        <v>66.654868208627434</v>
      </c>
      <c r="L33" s="206">
        <f>'присмотр гр КВП'!$J$14</f>
        <v>1.24298</v>
      </c>
      <c r="M33" s="207">
        <f>'присмотр гр КВП'!$H$29</f>
        <v>2.285471331389699</v>
      </c>
      <c r="N33" s="206">
        <f>'присмотр гр КВП'!$J$41</f>
        <v>1.7443283662671418</v>
      </c>
      <c r="O33" s="7">
        <v>0</v>
      </c>
      <c r="P33" s="211">
        <f>'присмотр гр КВП'!$C$48</f>
        <v>2.1091118790627363</v>
      </c>
      <c r="Q33" s="310">
        <f>L33+M33+N33+O33+P33</f>
        <v>7.3818915767195765</v>
      </c>
      <c r="R33" s="311">
        <f>G33+Q33</f>
        <v>60.705786143621523</v>
      </c>
      <c r="S33" s="310">
        <f>K33+Q33</f>
        <v>74.036759785347016</v>
      </c>
      <c r="T33" s="26">
        <f>81*1.057</f>
        <v>85.61699999999999</v>
      </c>
      <c r="U33" s="27">
        <f>98*1.057</f>
        <v>103.586</v>
      </c>
    </row>
    <row r="34" spans="1:2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x14ac:dyDescent="0.25">
      <c r="A36" s="392" t="s">
        <v>231</v>
      </c>
      <c r="B36" s="392"/>
      <c r="C36" s="392"/>
      <c r="D36" s="392"/>
      <c r="E36" s="392"/>
      <c r="F36" s="392"/>
      <c r="G36" s="392"/>
      <c r="H36" s="392"/>
      <c r="I36" s="392"/>
      <c r="J36" s="392"/>
      <c r="K36" s="392"/>
      <c r="L36" s="392"/>
      <c r="M36" s="392"/>
      <c r="N36" s="392"/>
      <c r="O36" s="392"/>
      <c r="P36" s="392"/>
      <c r="Q36" s="392"/>
      <c r="R36" s="392"/>
      <c r="S36" s="392"/>
      <c r="T36" s="1"/>
      <c r="U36" s="1"/>
    </row>
    <row r="37" spans="1:21" ht="15.75" thickBo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60" customHeight="1" thickBot="1" x14ac:dyDescent="0.3">
      <c r="A38" s="393" t="s">
        <v>109</v>
      </c>
      <c r="B38" s="396" t="s">
        <v>236</v>
      </c>
      <c r="C38" s="393" t="s">
        <v>111</v>
      </c>
      <c r="D38" s="399"/>
      <c r="E38" s="399"/>
      <c r="F38" s="399"/>
      <c r="G38" s="399"/>
      <c r="H38" s="399"/>
      <c r="I38" s="399"/>
      <c r="J38" s="399"/>
      <c r="K38" s="400"/>
      <c r="L38" s="401" t="s">
        <v>112</v>
      </c>
      <c r="M38" s="402"/>
      <c r="N38" s="402"/>
      <c r="O38" s="402"/>
      <c r="P38" s="402"/>
      <c r="Q38" s="403"/>
      <c r="R38" s="404" t="s">
        <v>113</v>
      </c>
      <c r="S38" s="389"/>
      <c r="T38" s="388" t="s">
        <v>114</v>
      </c>
      <c r="U38" s="389"/>
    </row>
    <row r="39" spans="1:21" x14ac:dyDescent="0.25">
      <c r="A39" s="394"/>
      <c r="B39" s="397"/>
      <c r="C39" s="414" t="s">
        <v>115</v>
      </c>
      <c r="D39" s="417" t="s">
        <v>116</v>
      </c>
      <c r="E39" s="417"/>
      <c r="F39" s="417"/>
      <c r="G39" s="418" t="s">
        <v>117</v>
      </c>
      <c r="H39" s="417" t="s">
        <v>118</v>
      </c>
      <c r="I39" s="417"/>
      <c r="J39" s="417"/>
      <c r="K39" s="410" t="s">
        <v>119</v>
      </c>
      <c r="L39" s="420" t="s">
        <v>120</v>
      </c>
      <c r="M39" s="385" t="s">
        <v>121</v>
      </c>
      <c r="N39" s="385" t="s">
        <v>122</v>
      </c>
      <c r="O39" s="385" t="s">
        <v>123</v>
      </c>
      <c r="P39" s="406" t="s">
        <v>124</v>
      </c>
      <c r="Q39" s="409" t="s">
        <v>125</v>
      </c>
      <c r="R39" s="405"/>
      <c r="S39" s="391"/>
      <c r="T39" s="390"/>
      <c r="U39" s="391"/>
    </row>
    <row r="40" spans="1:21" x14ac:dyDescent="0.25">
      <c r="A40" s="394"/>
      <c r="B40" s="397"/>
      <c r="C40" s="415"/>
      <c r="D40" s="412" t="s">
        <v>126</v>
      </c>
      <c r="E40" s="412" t="s">
        <v>127</v>
      </c>
      <c r="F40" s="412" t="s">
        <v>128</v>
      </c>
      <c r="G40" s="418"/>
      <c r="H40" s="412" t="s">
        <v>126</v>
      </c>
      <c r="I40" s="412" t="s">
        <v>127</v>
      </c>
      <c r="J40" s="412" t="s">
        <v>128</v>
      </c>
      <c r="K40" s="410"/>
      <c r="L40" s="390"/>
      <c r="M40" s="386"/>
      <c r="N40" s="386"/>
      <c r="O40" s="386"/>
      <c r="P40" s="407"/>
      <c r="Q40" s="410"/>
      <c r="R40" s="405"/>
      <c r="S40" s="391"/>
      <c r="T40" s="390"/>
      <c r="U40" s="391"/>
    </row>
    <row r="41" spans="1:21" ht="48.75" customHeight="1" thickBot="1" x14ac:dyDescent="0.3">
      <c r="A41" s="395"/>
      <c r="B41" s="398"/>
      <c r="C41" s="416"/>
      <c r="D41" s="413"/>
      <c r="E41" s="413"/>
      <c r="F41" s="413"/>
      <c r="G41" s="419"/>
      <c r="H41" s="413"/>
      <c r="I41" s="413"/>
      <c r="J41" s="413"/>
      <c r="K41" s="411"/>
      <c r="L41" s="421"/>
      <c r="M41" s="387"/>
      <c r="N41" s="387"/>
      <c r="O41" s="387"/>
      <c r="P41" s="408"/>
      <c r="Q41" s="411"/>
      <c r="R41" s="21" t="s">
        <v>116</v>
      </c>
      <c r="S41" s="28" t="s">
        <v>129</v>
      </c>
      <c r="T41" s="4" t="s">
        <v>116</v>
      </c>
      <c r="U41" s="5" t="s">
        <v>129</v>
      </c>
    </row>
    <row r="42" spans="1:21" ht="15.75" thickBot="1" x14ac:dyDescent="0.3">
      <c r="A42" s="29">
        <v>1</v>
      </c>
      <c r="B42" s="30"/>
      <c r="C42" s="280">
        <f>'от продуктов'!$I$36</f>
        <v>238.05310074509799</v>
      </c>
      <c r="D42" s="31">
        <v>0.8</v>
      </c>
      <c r="E42" s="31">
        <v>0.12</v>
      </c>
      <c r="F42" s="31">
        <v>0.8</v>
      </c>
      <c r="G42" s="295">
        <f>C42*D42*E42*F42</f>
        <v>18.282478137223528</v>
      </c>
      <c r="H42" s="31">
        <v>1</v>
      </c>
      <c r="I42" s="31">
        <v>0.12</v>
      </c>
      <c r="J42" s="31">
        <v>0.8</v>
      </c>
      <c r="K42" s="297">
        <f>C42*H42*I42*J42</f>
        <v>22.853097671529408</v>
      </c>
      <c r="L42" s="206">
        <f>'присмотр гр КВП'!$J$14</f>
        <v>1.24298</v>
      </c>
      <c r="M42" s="207">
        <f>'присмотр гр КВП'!$H$29</f>
        <v>2.285471331389699</v>
      </c>
      <c r="N42" s="206">
        <f>'присмотр гр КВП'!$J$41</f>
        <v>1.7443283662671418</v>
      </c>
      <c r="O42" s="31">
        <v>0</v>
      </c>
      <c r="P42" s="211">
        <f>'присмотр гр КВП'!$C$48</f>
        <v>2.1091118790627363</v>
      </c>
      <c r="Q42" s="298">
        <f>L42+M42+N42+O42+P42</f>
        <v>7.3818915767195765</v>
      </c>
      <c r="R42" s="299">
        <f>G42+Q42</f>
        <v>25.664369713943103</v>
      </c>
      <c r="S42" s="297">
        <f>K42+Q42</f>
        <v>30.234989248248986</v>
      </c>
      <c r="T42" s="26">
        <f>77*1.057</f>
        <v>81.388999999999996</v>
      </c>
      <c r="U42" s="27">
        <f>94*1.057</f>
        <v>99.35799999999999</v>
      </c>
    </row>
    <row r="43" spans="1:2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32"/>
      <c r="U43" s="32"/>
    </row>
    <row r="44" spans="1:2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32"/>
      <c r="U44" s="32"/>
    </row>
    <row r="45" spans="1:21" ht="15.75" x14ac:dyDescent="0.25">
      <c r="A45" s="426" t="s">
        <v>232</v>
      </c>
      <c r="B45" s="426"/>
      <c r="C45" s="426"/>
      <c r="D45" s="426"/>
      <c r="E45" s="426"/>
      <c r="F45" s="426"/>
      <c r="G45" s="426"/>
      <c r="H45" s="426"/>
      <c r="I45" s="426"/>
      <c r="J45" s="426"/>
      <c r="K45" s="426"/>
      <c r="L45" s="426"/>
      <c r="M45" s="426"/>
      <c r="N45" s="426"/>
      <c r="O45" s="426"/>
      <c r="P45" s="426"/>
      <c r="Q45" s="426"/>
      <c r="R45" s="426"/>
      <c r="S45" s="426"/>
      <c r="T45" s="32"/>
      <c r="U45" s="32"/>
    </row>
    <row r="46" spans="1:21" ht="15.75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32"/>
      <c r="U46" s="32"/>
    </row>
    <row r="47" spans="1:21" ht="60.75" customHeight="1" thickBot="1" x14ac:dyDescent="0.3">
      <c r="A47" s="393" t="s">
        <v>109</v>
      </c>
      <c r="B47" s="396" t="s">
        <v>236</v>
      </c>
      <c r="C47" s="393" t="s">
        <v>111</v>
      </c>
      <c r="D47" s="399"/>
      <c r="E47" s="399"/>
      <c r="F47" s="399"/>
      <c r="G47" s="399"/>
      <c r="H47" s="399"/>
      <c r="I47" s="399"/>
      <c r="J47" s="399"/>
      <c r="K47" s="400"/>
      <c r="L47" s="401" t="s">
        <v>112</v>
      </c>
      <c r="M47" s="402"/>
      <c r="N47" s="402"/>
      <c r="O47" s="402"/>
      <c r="P47" s="402"/>
      <c r="Q47" s="403"/>
      <c r="R47" s="404" t="s">
        <v>113</v>
      </c>
      <c r="S47" s="389"/>
      <c r="T47" s="388" t="s">
        <v>114</v>
      </c>
      <c r="U47" s="389"/>
    </row>
    <row r="48" spans="1:21" x14ac:dyDescent="0.25">
      <c r="A48" s="394"/>
      <c r="B48" s="397"/>
      <c r="C48" s="414" t="s">
        <v>115</v>
      </c>
      <c r="D48" s="417" t="s">
        <v>116</v>
      </c>
      <c r="E48" s="417"/>
      <c r="F48" s="417"/>
      <c r="G48" s="418" t="s">
        <v>117</v>
      </c>
      <c r="H48" s="417" t="s">
        <v>118</v>
      </c>
      <c r="I48" s="417"/>
      <c r="J48" s="417"/>
      <c r="K48" s="410" t="s">
        <v>119</v>
      </c>
      <c r="L48" s="420" t="s">
        <v>120</v>
      </c>
      <c r="M48" s="385" t="s">
        <v>121</v>
      </c>
      <c r="N48" s="385" t="s">
        <v>122</v>
      </c>
      <c r="O48" s="385" t="s">
        <v>123</v>
      </c>
      <c r="P48" s="406" t="s">
        <v>124</v>
      </c>
      <c r="Q48" s="409" t="s">
        <v>125</v>
      </c>
      <c r="R48" s="405"/>
      <c r="S48" s="391"/>
      <c r="T48" s="390"/>
      <c r="U48" s="391"/>
    </row>
    <row r="49" spans="1:21" x14ac:dyDescent="0.25">
      <c r="A49" s="394"/>
      <c r="B49" s="397"/>
      <c r="C49" s="415"/>
      <c r="D49" s="412" t="s">
        <v>126</v>
      </c>
      <c r="E49" s="412" t="s">
        <v>127</v>
      </c>
      <c r="F49" s="412" t="s">
        <v>128</v>
      </c>
      <c r="G49" s="418"/>
      <c r="H49" s="412" t="s">
        <v>126</v>
      </c>
      <c r="I49" s="412" t="s">
        <v>127</v>
      </c>
      <c r="J49" s="412" t="s">
        <v>128</v>
      </c>
      <c r="K49" s="410"/>
      <c r="L49" s="390"/>
      <c r="M49" s="386"/>
      <c r="N49" s="386"/>
      <c r="O49" s="386"/>
      <c r="P49" s="407"/>
      <c r="Q49" s="410"/>
      <c r="R49" s="405"/>
      <c r="S49" s="391"/>
      <c r="T49" s="390"/>
      <c r="U49" s="391"/>
    </row>
    <row r="50" spans="1:21" ht="53.25" customHeight="1" thickBot="1" x14ac:dyDescent="0.3">
      <c r="A50" s="395"/>
      <c r="B50" s="398"/>
      <c r="C50" s="416"/>
      <c r="D50" s="413"/>
      <c r="E50" s="413"/>
      <c r="F50" s="413"/>
      <c r="G50" s="419"/>
      <c r="H50" s="413"/>
      <c r="I50" s="413"/>
      <c r="J50" s="413"/>
      <c r="K50" s="411"/>
      <c r="L50" s="421"/>
      <c r="M50" s="387"/>
      <c r="N50" s="387"/>
      <c r="O50" s="387"/>
      <c r="P50" s="408"/>
      <c r="Q50" s="411"/>
      <c r="R50" s="33" t="s">
        <v>116</v>
      </c>
      <c r="S50" s="34" t="s">
        <v>129</v>
      </c>
      <c r="T50" s="4" t="s">
        <v>116</v>
      </c>
      <c r="U50" s="5" t="s">
        <v>129</v>
      </c>
    </row>
    <row r="51" spans="1:21" ht="15.75" thickBot="1" x14ac:dyDescent="0.3">
      <c r="A51" s="24">
        <v>1</v>
      </c>
      <c r="B51" s="25"/>
      <c r="C51" s="280">
        <f>'от продуктов'!$I$36</f>
        <v>238.05310074509799</v>
      </c>
      <c r="D51" s="18">
        <v>0.8</v>
      </c>
      <c r="E51" s="18">
        <v>0.24</v>
      </c>
      <c r="F51" s="18">
        <v>0.9</v>
      </c>
      <c r="G51" s="300">
        <f>C51*D51*E51*F51</f>
        <v>41.135575808752932</v>
      </c>
      <c r="H51" s="18">
        <v>1</v>
      </c>
      <c r="I51" s="18">
        <v>0.24</v>
      </c>
      <c r="J51" s="18">
        <v>0.9</v>
      </c>
      <c r="K51" s="301">
        <f>C51*H51*I51*J51</f>
        <v>51.419469760941162</v>
      </c>
      <c r="L51" s="206">
        <f>'присмотр гр КВП'!$J$14</f>
        <v>1.24298</v>
      </c>
      <c r="M51" s="207">
        <f>'присмотр гр КВП'!$H$29</f>
        <v>2.285471331389699</v>
      </c>
      <c r="N51" s="206">
        <f>'присмотр гр КВП'!$J$41</f>
        <v>1.7443283662671418</v>
      </c>
      <c r="O51" s="18">
        <v>0</v>
      </c>
      <c r="P51" s="211">
        <f>'присмотр гр КВП'!$C$48</f>
        <v>2.1091118790627363</v>
      </c>
      <c r="Q51" s="302">
        <f>L51+M51+N51+O51+P51</f>
        <v>7.3818915767195765</v>
      </c>
      <c r="R51" s="303">
        <f>G51+Q51</f>
        <v>48.517467385472507</v>
      </c>
      <c r="S51" s="302">
        <f>K51+Q51</f>
        <v>58.801361337660737</v>
      </c>
      <c r="T51" s="26">
        <f>85*1.057</f>
        <v>89.844999999999999</v>
      </c>
      <c r="U51" s="27">
        <f>S51*1.057</f>
        <v>62.153038933907396</v>
      </c>
    </row>
    <row r="52" spans="1:21" x14ac:dyDescent="0.25">
      <c r="A52" s="35"/>
      <c r="B52" s="36"/>
      <c r="C52" s="37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32"/>
      <c r="U52" s="32"/>
    </row>
    <row r="53" spans="1:21" x14ac:dyDescent="0.25">
      <c r="A53" s="35"/>
      <c r="B53" s="36"/>
      <c r="C53" s="37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32"/>
      <c r="U53" s="32"/>
    </row>
    <row r="54" spans="1:21" ht="15.75" x14ac:dyDescent="0.25">
      <c r="A54" s="392" t="s">
        <v>233</v>
      </c>
      <c r="B54" s="392"/>
      <c r="C54" s="392"/>
      <c r="D54" s="392"/>
      <c r="E54" s="392"/>
      <c r="F54" s="392"/>
      <c r="G54" s="392"/>
      <c r="H54" s="392"/>
      <c r="I54" s="392"/>
      <c r="J54" s="392"/>
      <c r="K54" s="392"/>
      <c r="L54" s="392"/>
      <c r="M54" s="392"/>
      <c r="N54" s="392"/>
      <c r="O54" s="392"/>
      <c r="P54" s="392"/>
      <c r="Q54" s="392"/>
      <c r="R54" s="392"/>
      <c r="S54" s="392"/>
      <c r="T54" s="32"/>
      <c r="U54" s="32"/>
    </row>
    <row r="55" spans="1:21" ht="15.75" thickBo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32"/>
      <c r="U55" s="32"/>
    </row>
    <row r="56" spans="1:21" ht="62.25" customHeight="1" thickBot="1" x14ac:dyDescent="0.3">
      <c r="A56" s="393" t="s">
        <v>109</v>
      </c>
      <c r="B56" s="396" t="s">
        <v>236</v>
      </c>
      <c r="C56" s="393" t="s">
        <v>111</v>
      </c>
      <c r="D56" s="399"/>
      <c r="E56" s="399"/>
      <c r="F56" s="399"/>
      <c r="G56" s="399"/>
      <c r="H56" s="399"/>
      <c r="I56" s="399"/>
      <c r="J56" s="399"/>
      <c r="K56" s="400"/>
      <c r="L56" s="401" t="s">
        <v>112</v>
      </c>
      <c r="M56" s="402"/>
      <c r="N56" s="402"/>
      <c r="O56" s="402"/>
      <c r="P56" s="402"/>
      <c r="Q56" s="403"/>
      <c r="R56" s="404" t="s">
        <v>113</v>
      </c>
      <c r="S56" s="389"/>
      <c r="T56" s="388" t="s">
        <v>114</v>
      </c>
      <c r="U56" s="389"/>
    </row>
    <row r="57" spans="1:21" x14ac:dyDescent="0.25">
      <c r="A57" s="394"/>
      <c r="B57" s="397"/>
      <c r="C57" s="414" t="s">
        <v>115</v>
      </c>
      <c r="D57" s="417" t="s">
        <v>116</v>
      </c>
      <c r="E57" s="417"/>
      <c r="F57" s="417"/>
      <c r="G57" s="418" t="s">
        <v>117</v>
      </c>
      <c r="H57" s="417" t="s">
        <v>118</v>
      </c>
      <c r="I57" s="417"/>
      <c r="J57" s="417"/>
      <c r="K57" s="410" t="s">
        <v>119</v>
      </c>
      <c r="L57" s="420" t="s">
        <v>120</v>
      </c>
      <c r="M57" s="385" t="s">
        <v>121</v>
      </c>
      <c r="N57" s="385" t="s">
        <v>122</v>
      </c>
      <c r="O57" s="385" t="s">
        <v>123</v>
      </c>
      <c r="P57" s="406" t="s">
        <v>124</v>
      </c>
      <c r="Q57" s="409" t="s">
        <v>125</v>
      </c>
      <c r="R57" s="405"/>
      <c r="S57" s="391"/>
      <c r="T57" s="390"/>
      <c r="U57" s="391"/>
    </row>
    <row r="58" spans="1:21" x14ac:dyDescent="0.25">
      <c r="A58" s="394"/>
      <c r="B58" s="397"/>
      <c r="C58" s="415"/>
      <c r="D58" s="412" t="s">
        <v>126</v>
      </c>
      <c r="E58" s="412" t="s">
        <v>127</v>
      </c>
      <c r="F58" s="412" t="s">
        <v>128</v>
      </c>
      <c r="G58" s="418"/>
      <c r="H58" s="412" t="s">
        <v>126</v>
      </c>
      <c r="I58" s="412" t="s">
        <v>127</v>
      </c>
      <c r="J58" s="412" t="s">
        <v>128</v>
      </c>
      <c r="K58" s="410"/>
      <c r="L58" s="390"/>
      <c r="M58" s="386"/>
      <c r="N58" s="386"/>
      <c r="O58" s="386"/>
      <c r="P58" s="407"/>
      <c r="Q58" s="410"/>
      <c r="R58" s="405"/>
      <c r="S58" s="391"/>
      <c r="T58" s="390"/>
      <c r="U58" s="391"/>
    </row>
    <row r="59" spans="1:21" ht="52.5" customHeight="1" thickBot="1" x14ac:dyDescent="0.3">
      <c r="A59" s="395"/>
      <c r="B59" s="398"/>
      <c r="C59" s="416"/>
      <c r="D59" s="413"/>
      <c r="E59" s="413"/>
      <c r="F59" s="413"/>
      <c r="G59" s="419"/>
      <c r="H59" s="413"/>
      <c r="I59" s="413"/>
      <c r="J59" s="413"/>
      <c r="K59" s="411"/>
      <c r="L59" s="421"/>
      <c r="M59" s="387"/>
      <c r="N59" s="387"/>
      <c r="O59" s="387"/>
      <c r="P59" s="408"/>
      <c r="Q59" s="411"/>
      <c r="R59" s="21" t="s">
        <v>116</v>
      </c>
      <c r="S59" s="28" t="s">
        <v>129</v>
      </c>
      <c r="T59" s="22" t="s">
        <v>116</v>
      </c>
      <c r="U59" s="23" t="s">
        <v>129</v>
      </c>
    </row>
    <row r="60" spans="1:21" ht="15.75" thickBot="1" x14ac:dyDescent="0.3">
      <c r="A60" s="48">
        <v>1</v>
      </c>
      <c r="B60" s="49"/>
      <c r="C60" s="280">
        <f>'от продуктов'!$I$36</f>
        <v>238.05310074509799</v>
      </c>
      <c r="D60" s="18">
        <v>0.8</v>
      </c>
      <c r="E60" s="18">
        <v>0.05</v>
      </c>
      <c r="F60" s="18">
        <v>0.9</v>
      </c>
      <c r="G60" s="300">
        <f>C60*D60*E60*F60</f>
        <v>8.5699116268235294</v>
      </c>
      <c r="H60" s="18">
        <v>1</v>
      </c>
      <c r="I60" s="18">
        <v>0.05</v>
      </c>
      <c r="J60" s="18">
        <v>0.9</v>
      </c>
      <c r="K60" s="301">
        <f>C60*H60*I60*J60</f>
        <v>10.712389533529411</v>
      </c>
      <c r="L60" s="206">
        <f>'присмотр гр КВП'!$J$14</f>
        <v>1.24298</v>
      </c>
      <c r="M60" s="207">
        <f>'присмотр гр КВП'!$H$29</f>
        <v>2.285471331389699</v>
      </c>
      <c r="N60" s="206">
        <f>'присмотр гр КВП'!$J$41</f>
        <v>1.7443283662671418</v>
      </c>
      <c r="O60" s="18">
        <v>0</v>
      </c>
      <c r="P60" s="211">
        <f>'присмотр гр КВП'!$C$48</f>
        <v>2.1091118790627363</v>
      </c>
      <c r="Q60" s="309">
        <f>L60+M60+N60+O60+P60</f>
        <v>7.3818915767195765</v>
      </c>
      <c r="R60" s="303">
        <f>G60+Q60</f>
        <v>15.951803203543106</v>
      </c>
      <c r="S60" s="301">
        <f>K60+Q60</f>
        <v>18.094281110248986</v>
      </c>
      <c r="T60" s="19">
        <f>81*1.057</f>
        <v>85.61699999999999</v>
      </c>
      <c r="U60" s="20">
        <f>98*1.057</f>
        <v>103.586</v>
      </c>
    </row>
    <row r="61" spans="1:2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x14ac:dyDescent="0.25">
      <c r="A63" s="392" t="s">
        <v>234</v>
      </c>
      <c r="B63" s="392"/>
      <c r="C63" s="392"/>
      <c r="D63" s="392"/>
      <c r="E63" s="392"/>
      <c r="F63" s="392"/>
      <c r="G63" s="392"/>
      <c r="H63" s="392"/>
      <c r="I63" s="392"/>
      <c r="J63" s="392"/>
      <c r="K63" s="392"/>
      <c r="L63" s="392"/>
      <c r="M63" s="392"/>
      <c r="N63" s="392"/>
      <c r="O63" s="392"/>
      <c r="P63" s="392"/>
      <c r="Q63" s="392"/>
      <c r="R63" s="392"/>
      <c r="S63" s="392"/>
      <c r="T63" s="1"/>
      <c r="U63" s="1"/>
    </row>
    <row r="64" spans="1:21" ht="15.75" thickBo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57" customHeight="1" thickBot="1" x14ac:dyDescent="0.3">
      <c r="A65" s="393" t="s">
        <v>109</v>
      </c>
      <c r="B65" s="396" t="s">
        <v>236</v>
      </c>
      <c r="C65" s="393" t="s">
        <v>111</v>
      </c>
      <c r="D65" s="399"/>
      <c r="E65" s="399"/>
      <c r="F65" s="399"/>
      <c r="G65" s="399"/>
      <c r="H65" s="399"/>
      <c r="I65" s="399"/>
      <c r="J65" s="399"/>
      <c r="K65" s="400"/>
      <c r="L65" s="401" t="s">
        <v>112</v>
      </c>
      <c r="M65" s="402"/>
      <c r="N65" s="402"/>
      <c r="O65" s="402"/>
      <c r="P65" s="402"/>
      <c r="Q65" s="403"/>
      <c r="R65" s="404" t="s">
        <v>113</v>
      </c>
      <c r="S65" s="389"/>
      <c r="T65" s="388" t="s">
        <v>114</v>
      </c>
      <c r="U65" s="389"/>
    </row>
    <row r="66" spans="1:21" x14ac:dyDescent="0.25">
      <c r="A66" s="394"/>
      <c r="B66" s="397"/>
      <c r="C66" s="414" t="s">
        <v>115</v>
      </c>
      <c r="D66" s="417" t="s">
        <v>116</v>
      </c>
      <c r="E66" s="417"/>
      <c r="F66" s="417"/>
      <c r="G66" s="418" t="s">
        <v>117</v>
      </c>
      <c r="H66" s="417" t="s">
        <v>118</v>
      </c>
      <c r="I66" s="417"/>
      <c r="J66" s="417"/>
      <c r="K66" s="410" t="s">
        <v>119</v>
      </c>
      <c r="L66" s="420" t="s">
        <v>120</v>
      </c>
      <c r="M66" s="385" t="s">
        <v>121</v>
      </c>
      <c r="N66" s="385" t="s">
        <v>122</v>
      </c>
      <c r="O66" s="385" t="s">
        <v>123</v>
      </c>
      <c r="P66" s="406" t="s">
        <v>124</v>
      </c>
      <c r="Q66" s="409" t="s">
        <v>125</v>
      </c>
      <c r="R66" s="405"/>
      <c r="S66" s="391"/>
      <c r="T66" s="390"/>
      <c r="U66" s="391"/>
    </row>
    <row r="67" spans="1:21" x14ac:dyDescent="0.25">
      <c r="A67" s="394"/>
      <c r="B67" s="397"/>
      <c r="C67" s="415"/>
      <c r="D67" s="412" t="s">
        <v>126</v>
      </c>
      <c r="E67" s="412" t="s">
        <v>127</v>
      </c>
      <c r="F67" s="412" t="s">
        <v>128</v>
      </c>
      <c r="G67" s="418"/>
      <c r="H67" s="412" t="s">
        <v>126</v>
      </c>
      <c r="I67" s="412" t="s">
        <v>127</v>
      </c>
      <c r="J67" s="412" t="s">
        <v>128</v>
      </c>
      <c r="K67" s="410"/>
      <c r="L67" s="390"/>
      <c r="M67" s="386"/>
      <c r="N67" s="386"/>
      <c r="O67" s="386"/>
      <c r="P67" s="407"/>
      <c r="Q67" s="410"/>
      <c r="R67" s="405"/>
      <c r="S67" s="391"/>
      <c r="T67" s="390"/>
      <c r="U67" s="391"/>
    </row>
    <row r="68" spans="1:21" ht="26.25" thickBot="1" x14ac:dyDescent="0.3">
      <c r="A68" s="395"/>
      <c r="B68" s="398"/>
      <c r="C68" s="416"/>
      <c r="D68" s="413"/>
      <c r="E68" s="413"/>
      <c r="F68" s="413"/>
      <c r="G68" s="419"/>
      <c r="H68" s="413"/>
      <c r="I68" s="413"/>
      <c r="J68" s="413"/>
      <c r="K68" s="411"/>
      <c r="L68" s="421"/>
      <c r="M68" s="387"/>
      <c r="N68" s="387"/>
      <c r="O68" s="387"/>
      <c r="P68" s="408"/>
      <c r="Q68" s="411"/>
      <c r="R68" s="21" t="s">
        <v>116</v>
      </c>
      <c r="S68" s="28" t="s">
        <v>129</v>
      </c>
      <c r="T68" s="22" t="s">
        <v>116</v>
      </c>
      <c r="U68" s="23" t="s">
        <v>129</v>
      </c>
    </row>
    <row r="69" spans="1:21" ht="15.75" thickBot="1" x14ac:dyDescent="0.3">
      <c r="A69" s="48">
        <v>1</v>
      </c>
      <c r="B69" s="49"/>
      <c r="C69" s="280">
        <f>'от продуктов'!$I$36</f>
        <v>238.05310074509799</v>
      </c>
      <c r="D69" s="18">
        <v>0.8</v>
      </c>
      <c r="E69" s="18">
        <v>0.35</v>
      </c>
      <c r="F69" s="18">
        <v>0.9</v>
      </c>
      <c r="G69" s="300">
        <f t="shared" ref="G69" si="0">C69*D69*E69*F69</f>
        <v>59.989381387764695</v>
      </c>
      <c r="H69" s="18">
        <v>1</v>
      </c>
      <c r="I69" s="18">
        <v>0.35</v>
      </c>
      <c r="J69" s="18">
        <v>0.9</v>
      </c>
      <c r="K69" s="301">
        <f t="shared" ref="K69" si="1">C69*H69*I69*J69</f>
        <v>74.986726734705869</v>
      </c>
      <c r="L69" s="206">
        <f>'присмотр гр КВП'!$J$14</f>
        <v>1.24298</v>
      </c>
      <c r="M69" s="207">
        <f>'присмотр гр КВП'!$H$29</f>
        <v>2.285471331389699</v>
      </c>
      <c r="N69" s="206">
        <f>'присмотр гр КВП'!$J$41</f>
        <v>1.7443283662671418</v>
      </c>
      <c r="O69" s="18">
        <v>0</v>
      </c>
      <c r="P69" s="211">
        <f>'присмотр гр КВП'!$C$48</f>
        <v>2.1091118790627363</v>
      </c>
      <c r="Q69" s="302">
        <f t="shared" ref="Q69" si="2">L69+M69+N69+O69+P69</f>
        <v>7.3818915767195765</v>
      </c>
      <c r="R69" s="303">
        <f t="shared" ref="R69" si="3">G69+Q69</f>
        <v>67.371272964484277</v>
      </c>
      <c r="S69" s="301">
        <f t="shared" ref="S69" si="4">K69+Q69</f>
        <v>82.36861831142545</v>
      </c>
      <c r="T69" s="19">
        <f t="shared" ref="T69" si="5">77*1.057</f>
        <v>81.388999999999996</v>
      </c>
      <c r="U69" s="20">
        <f t="shared" ref="U69" si="6">S69*1.057</f>
        <v>87.063629555176689</v>
      </c>
    </row>
    <row r="70" spans="1:2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x14ac:dyDescent="0.25">
      <c r="A72" s="392" t="s">
        <v>235</v>
      </c>
      <c r="B72" s="392"/>
      <c r="C72" s="392"/>
      <c r="D72" s="392"/>
      <c r="E72" s="392"/>
      <c r="F72" s="392"/>
      <c r="G72" s="392"/>
      <c r="H72" s="392"/>
      <c r="I72" s="392"/>
      <c r="J72" s="392"/>
      <c r="K72" s="392"/>
      <c r="L72" s="392"/>
      <c r="M72" s="392"/>
      <c r="N72" s="392"/>
      <c r="O72" s="392"/>
      <c r="P72" s="392"/>
      <c r="Q72" s="392"/>
      <c r="R72" s="392"/>
      <c r="S72" s="392"/>
      <c r="T72" s="1"/>
      <c r="U72" s="1"/>
    </row>
    <row r="73" spans="1:21" ht="15.75" thickBo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38.25" customHeight="1" thickBot="1" x14ac:dyDescent="0.3">
      <c r="A74" s="393" t="s">
        <v>109</v>
      </c>
      <c r="B74" s="396" t="s">
        <v>236</v>
      </c>
      <c r="C74" s="393" t="s">
        <v>111</v>
      </c>
      <c r="D74" s="399"/>
      <c r="E74" s="399"/>
      <c r="F74" s="399"/>
      <c r="G74" s="399"/>
      <c r="H74" s="399"/>
      <c r="I74" s="399"/>
      <c r="J74" s="399"/>
      <c r="K74" s="400"/>
      <c r="L74" s="401" t="s">
        <v>112</v>
      </c>
      <c r="M74" s="402"/>
      <c r="N74" s="402"/>
      <c r="O74" s="402"/>
      <c r="P74" s="402"/>
      <c r="Q74" s="403"/>
      <c r="R74" s="404" t="s">
        <v>113</v>
      </c>
      <c r="S74" s="389"/>
      <c r="T74" s="388" t="s">
        <v>114</v>
      </c>
      <c r="U74" s="389"/>
    </row>
    <row r="75" spans="1:21" x14ac:dyDescent="0.25">
      <c r="A75" s="394"/>
      <c r="B75" s="397"/>
      <c r="C75" s="414" t="s">
        <v>115</v>
      </c>
      <c r="D75" s="417" t="s">
        <v>116</v>
      </c>
      <c r="E75" s="417"/>
      <c r="F75" s="417"/>
      <c r="G75" s="418" t="s">
        <v>117</v>
      </c>
      <c r="H75" s="417" t="s">
        <v>118</v>
      </c>
      <c r="I75" s="417"/>
      <c r="J75" s="417"/>
      <c r="K75" s="410" t="s">
        <v>119</v>
      </c>
      <c r="L75" s="420" t="s">
        <v>120</v>
      </c>
      <c r="M75" s="385" t="s">
        <v>121</v>
      </c>
      <c r="N75" s="385" t="s">
        <v>122</v>
      </c>
      <c r="O75" s="385" t="s">
        <v>123</v>
      </c>
      <c r="P75" s="406" t="s">
        <v>124</v>
      </c>
      <c r="Q75" s="409" t="s">
        <v>125</v>
      </c>
      <c r="R75" s="405"/>
      <c r="S75" s="391"/>
      <c r="T75" s="390"/>
      <c r="U75" s="391"/>
    </row>
    <row r="76" spans="1:21" x14ac:dyDescent="0.25">
      <c r="A76" s="394"/>
      <c r="B76" s="397"/>
      <c r="C76" s="415"/>
      <c r="D76" s="412" t="s">
        <v>126</v>
      </c>
      <c r="E76" s="412" t="s">
        <v>127</v>
      </c>
      <c r="F76" s="412" t="s">
        <v>128</v>
      </c>
      <c r="G76" s="418"/>
      <c r="H76" s="412" t="s">
        <v>126</v>
      </c>
      <c r="I76" s="412" t="s">
        <v>127</v>
      </c>
      <c r="J76" s="412" t="s">
        <v>128</v>
      </c>
      <c r="K76" s="410"/>
      <c r="L76" s="390"/>
      <c r="M76" s="386"/>
      <c r="N76" s="386"/>
      <c r="O76" s="386"/>
      <c r="P76" s="407"/>
      <c r="Q76" s="410"/>
      <c r="R76" s="405"/>
      <c r="S76" s="391"/>
      <c r="T76" s="390"/>
      <c r="U76" s="391"/>
    </row>
    <row r="77" spans="1:21" ht="93.75" customHeight="1" thickBot="1" x14ac:dyDescent="0.3">
      <c r="A77" s="395"/>
      <c r="B77" s="398"/>
      <c r="C77" s="416"/>
      <c r="D77" s="413"/>
      <c r="E77" s="413"/>
      <c r="F77" s="413"/>
      <c r="G77" s="419"/>
      <c r="H77" s="413"/>
      <c r="I77" s="413"/>
      <c r="J77" s="413"/>
      <c r="K77" s="411"/>
      <c r="L77" s="421"/>
      <c r="M77" s="387"/>
      <c r="N77" s="387"/>
      <c r="O77" s="387"/>
      <c r="P77" s="408"/>
      <c r="Q77" s="411"/>
      <c r="R77" s="21" t="s">
        <v>116</v>
      </c>
      <c r="S77" s="28" t="s">
        <v>129</v>
      </c>
      <c r="T77" s="22" t="s">
        <v>116</v>
      </c>
      <c r="U77" s="23" t="s">
        <v>129</v>
      </c>
    </row>
    <row r="78" spans="1:21" ht="15.75" thickBot="1" x14ac:dyDescent="0.3">
      <c r="A78" s="38">
        <v>1</v>
      </c>
      <c r="B78" s="30"/>
      <c r="C78" s="280">
        <f>'от продуктов'!$I$36</f>
        <v>238.05310074509799</v>
      </c>
      <c r="D78" s="31">
        <v>0.8</v>
      </c>
      <c r="E78" s="31">
        <v>0.12</v>
      </c>
      <c r="F78" s="31">
        <v>0.9</v>
      </c>
      <c r="G78" s="295">
        <f t="shared" ref="G78" si="7">C78*D78*E78*F78</f>
        <v>20.567787904376466</v>
      </c>
      <c r="H78" s="31">
        <v>1</v>
      </c>
      <c r="I78" s="31">
        <v>0.12</v>
      </c>
      <c r="J78" s="31">
        <v>0.9</v>
      </c>
      <c r="K78" s="297">
        <f t="shared" ref="K78" si="8">C78*H78*I78*J78</f>
        <v>25.709734880470581</v>
      </c>
      <c r="L78" s="206">
        <f>'присмотр гр КВП'!$J$14</f>
        <v>1.24298</v>
      </c>
      <c r="M78" s="207">
        <f>'присмотр гр КВП'!$H$29</f>
        <v>2.285471331389699</v>
      </c>
      <c r="N78" s="206">
        <f>'присмотр гр КВП'!$J$41</f>
        <v>1.7443283662671418</v>
      </c>
      <c r="O78" s="31">
        <v>0</v>
      </c>
      <c r="P78" s="211">
        <f>'присмотр гр КВП'!$C$48</f>
        <v>2.1091118790627363</v>
      </c>
      <c r="Q78" s="298">
        <f>L78+M78+N78+O78+P78</f>
        <v>7.3818915767195765</v>
      </c>
      <c r="R78" s="299">
        <f>G78+Q78</f>
        <v>27.949679481096041</v>
      </c>
      <c r="S78" s="298">
        <f>K78+Q78</f>
        <v>33.091626457190159</v>
      </c>
      <c r="T78" s="26">
        <f>R78*1.057</f>
        <v>29.542811211518515</v>
      </c>
      <c r="U78" s="27">
        <f>S78*1.057</f>
        <v>34.977849165249999</v>
      </c>
    </row>
  </sheetData>
  <mergeCells count="199">
    <mergeCell ref="A1:S1"/>
    <mergeCell ref="B2:O2"/>
    <mergeCell ref="B3:O3"/>
    <mergeCell ref="B4:O4"/>
    <mergeCell ref="B5:O5"/>
    <mergeCell ref="B6:U6"/>
    <mergeCell ref="B7:U7"/>
    <mergeCell ref="A9:S9"/>
    <mergeCell ref="A11:A14"/>
    <mergeCell ref="B11:B14"/>
    <mergeCell ref="C11:K11"/>
    <mergeCell ref="L11:Q11"/>
    <mergeCell ref="R11:S13"/>
    <mergeCell ref="T11:U13"/>
    <mergeCell ref="C12:C14"/>
    <mergeCell ref="D12:F12"/>
    <mergeCell ref="O12:O14"/>
    <mergeCell ref="P12:P14"/>
    <mergeCell ref="Q12:Q14"/>
    <mergeCell ref="D13:D14"/>
    <mergeCell ref="E13:E14"/>
    <mergeCell ref="F13:F14"/>
    <mergeCell ref="H13:H14"/>
    <mergeCell ref="I13:I14"/>
    <mergeCell ref="J13:J14"/>
    <mergeCell ref="G12:G14"/>
    <mergeCell ref="H12:J12"/>
    <mergeCell ref="K12:K14"/>
    <mergeCell ref="L12:L14"/>
    <mergeCell ref="M12:M14"/>
    <mergeCell ref="N12:N14"/>
    <mergeCell ref="A18:S18"/>
    <mergeCell ref="A20:A23"/>
    <mergeCell ref="B20:B23"/>
    <mergeCell ref="C20:K20"/>
    <mergeCell ref="L20:Q20"/>
    <mergeCell ref="R20:S22"/>
    <mergeCell ref="P21:P23"/>
    <mergeCell ref="Q21:Q23"/>
    <mergeCell ref="D22:D23"/>
    <mergeCell ref="E22:E23"/>
    <mergeCell ref="T20:U22"/>
    <mergeCell ref="C21:C23"/>
    <mergeCell ref="D21:F21"/>
    <mergeCell ref="G21:G23"/>
    <mergeCell ref="H21:J21"/>
    <mergeCell ref="K21:K23"/>
    <mergeCell ref="L21:L23"/>
    <mergeCell ref="M21:M23"/>
    <mergeCell ref="N21:N23"/>
    <mergeCell ref="O21:O23"/>
    <mergeCell ref="F22:F23"/>
    <mergeCell ref="H22:H23"/>
    <mergeCell ref="I22:I23"/>
    <mergeCell ref="J22:J23"/>
    <mergeCell ref="I40:I41"/>
    <mergeCell ref="A27:S27"/>
    <mergeCell ref="A29:A32"/>
    <mergeCell ref="B29:B32"/>
    <mergeCell ref="C29:K29"/>
    <mergeCell ref="L29:Q29"/>
    <mergeCell ref="R29:S31"/>
    <mergeCell ref="C30:C32"/>
    <mergeCell ref="D30:F30"/>
    <mergeCell ref="G30:G32"/>
    <mergeCell ref="H30:J30"/>
    <mergeCell ref="K30:K32"/>
    <mergeCell ref="L30:L32"/>
    <mergeCell ref="M30:M32"/>
    <mergeCell ref="N30:N32"/>
    <mergeCell ref="O30:O32"/>
    <mergeCell ref="P30:P32"/>
    <mergeCell ref="Q30:Q32"/>
    <mergeCell ref="D31:D32"/>
    <mergeCell ref="E31:E32"/>
    <mergeCell ref="F31:F32"/>
    <mergeCell ref="H31:H32"/>
    <mergeCell ref="I31:I32"/>
    <mergeCell ref="J31:J32"/>
    <mergeCell ref="J49:J50"/>
    <mergeCell ref="T29:U31"/>
    <mergeCell ref="A36:S36"/>
    <mergeCell ref="A38:A41"/>
    <mergeCell ref="B38:B41"/>
    <mergeCell ref="C38:K38"/>
    <mergeCell ref="L38:Q38"/>
    <mergeCell ref="R38:S40"/>
    <mergeCell ref="P39:P41"/>
    <mergeCell ref="Q39:Q41"/>
    <mergeCell ref="D40:D41"/>
    <mergeCell ref="E40:E41"/>
    <mergeCell ref="T38:U40"/>
    <mergeCell ref="C39:C41"/>
    <mergeCell ref="D39:F39"/>
    <mergeCell ref="G39:G41"/>
    <mergeCell ref="H39:J39"/>
    <mergeCell ref="K39:K41"/>
    <mergeCell ref="L39:L41"/>
    <mergeCell ref="M39:M41"/>
    <mergeCell ref="N39:N41"/>
    <mergeCell ref="O39:O41"/>
    <mergeCell ref="F40:F41"/>
    <mergeCell ref="H40:H41"/>
    <mergeCell ref="I58:I59"/>
    <mergeCell ref="J40:J41"/>
    <mergeCell ref="A45:S45"/>
    <mergeCell ref="A47:A50"/>
    <mergeCell ref="B47:B50"/>
    <mergeCell ref="C47:K47"/>
    <mergeCell ref="L47:Q47"/>
    <mergeCell ref="R47:S49"/>
    <mergeCell ref="C48:C50"/>
    <mergeCell ref="D48:F48"/>
    <mergeCell ref="G48:G50"/>
    <mergeCell ref="H48:J48"/>
    <mergeCell ref="K48:K50"/>
    <mergeCell ref="L48:L50"/>
    <mergeCell ref="M48:M50"/>
    <mergeCell ref="N48:N50"/>
    <mergeCell ref="O48:O50"/>
    <mergeCell ref="P48:P50"/>
    <mergeCell ref="Q48:Q50"/>
    <mergeCell ref="D49:D50"/>
    <mergeCell ref="E49:E50"/>
    <mergeCell ref="F49:F50"/>
    <mergeCell ref="H49:H50"/>
    <mergeCell ref="I49:I50"/>
    <mergeCell ref="J67:J68"/>
    <mergeCell ref="T47:U49"/>
    <mergeCell ref="A54:S54"/>
    <mergeCell ref="A56:A59"/>
    <mergeCell ref="B56:B59"/>
    <mergeCell ref="C56:K56"/>
    <mergeCell ref="L56:Q56"/>
    <mergeCell ref="R56:S58"/>
    <mergeCell ref="P57:P59"/>
    <mergeCell ref="Q57:Q59"/>
    <mergeCell ref="D58:D59"/>
    <mergeCell ref="E58:E59"/>
    <mergeCell ref="T56:U58"/>
    <mergeCell ref="C57:C59"/>
    <mergeCell ref="D57:F57"/>
    <mergeCell ref="G57:G59"/>
    <mergeCell ref="H57:J57"/>
    <mergeCell ref="K57:K59"/>
    <mergeCell ref="L57:L59"/>
    <mergeCell ref="M57:M59"/>
    <mergeCell ref="N57:N59"/>
    <mergeCell ref="O57:O59"/>
    <mergeCell ref="F58:F59"/>
    <mergeCell ref="H58:H59"/>
    <mergeCell ref="N75:N77"/>
    <mergeCell ref="J58:J59"/>
    <mergeCell ref="A63:S63"/>
    <mergeCell ref="A65:A68"/>
    <mergeCell ref="B65:B68"/>
    <mergeCell ref="C65:K65"/>
    <mergeCell ref="L65:Q65"/>
    <mergeCell ref="R65:S67"/>
    <mergeCell ref="C66:C68"/>
    <mergeCell ref="D66:F66"/>
    <mergeCell ref="G66:G68"/>
    <mergeCell ref="H66:J66"/>
    <mergeCell ref="K66:K68"/>
    <mergeCell ref="L66:L68"/>
    <mergeCell ref="M66:M68"/>
    <mergeCell ref="N66:N68"/>
    <mergeCell ref="O66:O68"/>
    <mergeCell ref="P66:P68"/>
    <mergeCell ref="Q66:Q68"/>
    <mergeCell ref="D67:D68"/>
    <mergeCell ref="E67:E68"/>
    <mergeCell ref="F67:F68"/>
    <mergeCell ref="H67:H68"/>
    <mergeCell ref="I67:I68"/>
    <mergeCell ref="O75:O77"/>
    <mergeCell ref="T65:U67"/>
    <mergeCell ref="A72:S72"/>
    <mergeCell ref="A74:A77"/>
    <mergeCell ref="B74:B77"/>
    <mergeCell ref="C74:K74"/>
    <mergeCell ref="L74:Q74"/>
    <mergeCell ref="R74:S76"/>
    <mergeCell ref="P75:P77"/>
    <mergeCell ref="Q75:Q77"/>
    <mergeCell ref="D76:D77"/>
    <mergeCell ref="E76:E77"/>
    <mergeCell ref="F76:F77"/>
    <mergeCell ref="H76:H77"/>
    <mergeCell ref="I76:I77"/>
    <mergeCell ref="J76:J77"/>
    <mergeCell ref="T74:U76"/>
    <mergeCell ref="C75:C77"/>
    <mergeCell ref="D75:F75"/>
    <mergeCell ref="G75:G77"/>
    <mergeCell ref="H75:J75"/>
    <mergeCell ref="K75:K77"/>
    <mergeCell ref="L75:L77"/>
    <mergeCell ref="M75:M77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  <rowBreaks count="1" manualBreakCount="1">
    <brk id="3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opLeftCell="A2" zoomScaleNormal="100" workbookViewId="0">
      <selection activeCell="R32" sqref="R32"/>
    </sheetView>
  </sheetViews>
  <sheetFormatPr defaultRowHeight="15" x14ac:dyDescent="0.25"/>
  <cols>
    <col min="2" max="2" width="43.7109375" customWidth="1"/>
    <col min="3" max="4" width="12.85546875" hidden="1" customWidth="1"/>
    <col min="5" max="5" width="14.42578125" hidden="1" customWidth="1"/>
    <col min="6" max="6" width="12.42578125" hidden="1" customWidth="1"/>
    <col min="7" max="7" width="12.42578125" customWidth="1"/>
    <col min="8" max="8" width="11.140625" customWidth="1"/>
    <col min="9" max="9" width="12.42578125" customWidth="1"/>
    <col min="10" max="10" width="10.140625" customWidth="1"/>
    <col min="11" max="12" width="9.5703125" bestFit="1" customWidth="1"/>
    <col min="14" max="14" width="8.85546875" customWidth="1"/>
  </cols>
  <sheetData>
    <row r="1" spans="1:14" hidden="1" x14ac:dyDescent="0.25">
      <c r="B1" t="s">
        <v>206</v>
      </c>
    </row>
    <row r="2" spans="1:14" x14ac:dyDescent="0.25">
      <c r="A2" s="153" t="s">
        <v>207</v>
      </c>
    </row>
    <row r="3" spans="1:14" x14ac:dyDescent="0.25">
      <c r="F3">
        <v>1.111</v>
      </c>
    </row>
    <row r="4" spans="1:14" ht="54.75" customHeight="1" x14ac:dyDescent="0.25">
      <c r="A4" s="489" t="s">
        <v>137</v>
      </c>
      <c r="B4" s="492" t="s">
        <v>273</v>
      </c>
      <c r="C4" s="493" t="s">
        <v>103</v>
      </c>
      <c r="D4" s="493"/>
      <c r="E4" s="493" t="s">
        <v>205</v>
      </c>
      <c r="F4" s="493"/>
      <c r="G4" s="493" t="s">
        <v>274</v>
      </c>
      <c r="H4" s="493"/>
      <c r="I4" s="493" t="s">
        <v>275</v>
      </c>
      <c r="J4" s="493"/>
      <c r="K4" s="483" t="s">
        <v>276</v>
      </c>
      <c r="L4" s="483"/>
      <c r="M4" s="483" t="s">
        <v>277</v>
      </c>
      <c r="N4" s="483"/>
    </row>
    <row r="5" spans="1:14" ht="15" customHeight="1" x14ac:dyDescent="0.25">
      <c r="A5" s="490"/>
      <c r="B5" s="492"/>
      <c r="C5" s="493" t="s">
        <v>88</v>
      </c>
      <c r="D5" s="493" t="s">
        <v>89</v>
      </c>
      <c r="E5" s="493" t="s">
        <v>88</v>
      </c>
      <c r="F5" s="493" t="s">
        <v>89</v>
      </c>
      <c r="G5" s="493" t="s">
        <v>88</v>
      </c>
      <c r="H5" s="493" t="s">
        <v>89</v>
      </c>
      <c r="I5" s="493" t="s">
        <v>88</v>
      </c>
      <c r="J5" s="493" t="s">
        <v>89</v>
      </c>
      <c r="K5" s="493" t="s">
        <v>88</v>
      </c>
      <c r="L5" s="493" t="s">
        <v>89</v>
      </c>
      <c r="M5" s="493" t="s">
        <v>88</v>
      </c>
      <c r="N5" s="493" t="s">
        <v>89</v>
      </c>
    </row>
    <row r="6" spans="1:14" x14ac:dyDescent="0.25">
      <c r="A6" s="491"/>
      <c r="B6" s="492"/>
      <c r="C6" s="493"/>
      <c r="D6" s="493"/>
      <c r="E6" s="493"/>
      <c r="F6" s="493"/>
      <c r="G6" s="493"/>
      <c r="H6" s="493"/>
      <c r="I6" s="493"/>
      <c r="J6" s="493"/>
      <c r="K6" s="493"/>
      <c r="L6" s="493"/>
      <c r="M6" s="493"/>
      <c r="N6" s="493"/>
    </row>
    <row r="7" spans="1:14" x14ac:dyDescent="0.25">
      <c r="A7" s="196">
        <v>1</v>
      </c>
      <c r="B7" s="193" t="s">
        <v>254</v>
      </c>
      <c r="C7" s="196">
        <v>86</v>
      </c>
      <c r="D7" s="196">
        <v>104</v>
      </c>
      <c r="E7" s="196">
        <f>ROUND(C7*$F$3,0)</f>
        <v>96</v>
      </c>
      <c r="F7" s="196">
        <f t="shared" ref="F7:F31" si="0">ROUND(D7*$F$3,0)</f>
        <v>116</v>
      </c>
      <c r="G7" s="198">
        <v>104</v>
      </c>
      <c r="H7" s="198">
        <v>126</v>
      </c>
      <c r="I7" s="208">
        <v>133</v>
      </c>
      <c r="J7" s="209">
        <v>162</v>
      </c>
      <c r="K7" s="203">
        <f>I7/G7*100</f>
        <v>127.88461538461537</v>
      </c>
      <c r="L7" s="203">
        <f>J7/H7*100</f>
        <v>128.57142857142858</v>
      </c>
      <c r="M7" s="204">
        <f>I7-G7</f>
        <v>29</v>
      </c>
      <c r="N7" s="205">
        <f>J7-H7</f>
        <v>36</v>
      </c>
    </row>
    <row r="8" spans="1:14" x14ac:dyDescent="0.25">
      <c r="A8" s="196">
        <v>2</v>
      </c>
      <c r="B8" s="197" t="s">
        <v>255</v>
      </c>
      <c r="C8" s="196">
        <v>86</v>
      </c>
      <c r="D8" s="196">
        <v>104</v>
      </c>
      <c r="E8" s="196">
        <f t="shared" ref="E8:E31" si="1">ROUND(C8*$F$3,0)</f>
        <v>96</v>
      </c>
      <c r="F8" s="196">
        <f t="shared" si="0"/>
        <v>116</v>
      </c>
      <c r="G8" s="198">
        <v>115</v>
      </c>
      <c r="H8" s="198">
        <v>140</v>
      </c>
      <c r="I8" s="208">
        <v>147</v>
      </c>
      <c r="J8" s="208">
        <v>180</v>
      </c>
      <c r="K8" s="203">
        <f t="shared" ref="K8:K40" si="2">I8/G8*100</f>
        <v>127.82608695652173</v>
      </c>
      <c r="L8" s="203">
        <f t="shared" ref="L8:L31" si="3">J8/H8*100</f>
        <v>128.57142857142858</v>
      </c>
      <c r="M8" s="204">
        <f t="shared" ref="M8:M31" si="4">I8-G8</f>
        <v>32</v>
      </c>
      <c r="N8" s="205">
        <f t="shared" ref="N8:N31" si="5">J8-H8</f>
        <v>40</v>
      </c>
    </row>
    <row r="9" spans="1:14" x14ac:dyDescent="0.25">
      <c r="A9" s="196">
        <v>3</v>
      </c>
      <c r="B9" s="197" t="s">
        <v>256</v>
      </c>
      <c r="C9" s="196">
        <v>81</v>
      </c>
      <c r="D9" s="196">
        <v>99</v>
      </c>
      <c r="E9" s="196">
        <f t="shared" si="1"/>
        <v>90</v>
      </c>
      <c r="F9" s="196">
        <f t="shared" si="0"/>
        <v>110</v>
      </c>
      <c r="G9" s="198">
        <v>99</v>
      </c>
      <c r="H9" s="198">
        <v>121</v>
      </c>
      <c r="I9" s="208">
        <v>128</v>
      </c>
      <c r="J9" s="208">
        <v>157</v>
      </c>
      <c r="K9" s="203">
        <f t="shared" si="2"/>
        <v>129.2929292929293</v>
      </c>
      <c r="L9" s="203">
        <f t="shared" si="3"/>
        <v>129.75206611570246</v>
      </c>
      <c r="M9" s="204">
        <f t="shared" si="4"/>
        <v>29</v>
      </c>
      <c r="N9" s="205">
        <f t="shared" si="5"/>
        <v>36</v>
      </c>
    </row>
    <row r="10" spans="1:14" x14ac:dyDescent="0.25">
      <c r="A10" s="196">
        <v>4</v>
      </c>
      <c r="B10" s="197" t="s">
        <v>257</v>
      </c>
      <c r="C10" s="196">
        <v>81</v>
      </c>
      <c r="D10" s="196">
        <v>99</v>
      </c>
      <c r="E10" s="196">
        <f t="shared" si="1"/>
        <v>90</v>
      </c>
      <c r="F10" s="196">
        <f t="shared" si="0"/>
        <v>110</v>
      </c>
      <c r="G10" s="198">
        <v>99</v>
      </c>
      <c r="H10" s="198">
        <v>121</v>
      </c>
      <c r="I10" s="208">
        <v>128</v>
      </c>
      <c r="J10" s="208">
        <v>157</v>
      </c>
      <c r="K10" s="203">
        <f t="shared" si="2"/>
        <v>129.2929292929293</v>
      </c>
      <c r="L10" s="203">
        <f t="shared" si="3"/>
        <v>129.75206611570246</v>
      </c>
      <c r="M10" s="204">
        <f t="shared" si="4"/>
        <v>29</v>
      </c>
      <c r="N10" s="205">
        <f t="shared" si="5"/>
        <v>36</v>
      </c>
    </row>
    <row r="11" spans="1:14" x14ac:dyDescent="0.25">
      <c r="A11" s="196">
        <v>5</v>
      </c>
      <c r="B11" s="197" t="s">
        <v>258</v>
      </c>
      <c r="C11" s="196">
        <v>94</v>
      </c>
      <c r="D11" s="196">
        <v>115</v>
      </c>
      <c r="E11" s="196">
        <f t="shared" si="1"/>
        <v>104</v>
      </c>
      <c r="F11" s="196">
        <f t="shared" si="0"/>
        <v>128</v>
      </c>
      <c r="G11" s="198">
        <v>115</v>
      </c>
      <c r="H11" s="198">
        <v>140</v>
      </c>
      <c r="I11" s="208">
        <v>147</v>
      </c>
      <c r="J11" s="208">
        <v>180</v>
      </c>
      <c r="K11" s="203">
        <f t="shared" si="2"/>
        <v>127.82608695652173</v>
      </c>
      <c r="L11" s="203">
        <f t="shared" si="3"/>
        <v>128.57142857142858</v>
      </c>
      <c r="M11" s="204">
        <f t="shared" si="4"/>
        <v>32</v>
      </c>
      <c r="N11" s="205">
        <f t="shared" si="5"/>
        <v>40</v>
      </c>
    </row>
    <row r="12" spans="1:14" x14ac:dyDescent="0.25">
      <c r="A12" s="196">
        <v>6</v>
      </c>
      <c r="B12" s="197" t="s">
        <v>259</v>
      </c>
      <c r="C12" s="196">
        <v>81</v>
      </c>
      <c r="D12" s="196">
        <v>99</v>
      </c>
      <c r="E12" s="196">
        <f t="shared" si="1"/>
        <v>90</v>
      </c>
      <c r="F12" s="196">
        <f t="shared" si="0"/>
        <v>110</v>
      </c>
      <c r="G12" s="198">
        <v>99</v>
      </c>
      <c r="H12" s="198">
        <v>121</v>
      </c>
      <c r="I12" s="208">
        <v>128</v>
      </c>
      <c r="J12" s="208">
        <v>157</v>
      </c>
      <c r="K12" s="203">
        <f t="shared" si="2"/>
        <v>129.2929292929293</v>
      </c>
      <c r="L12" s="203">
        <f t="shared" si="3"/>
        <v>129.75206611570246</v>
      </c>
      <c r="M12" s="204">
        <f t="shared" si="4"/>
        <v>29</v>
      </c>
      <c r="N12" s="205">
        <f t="shared" si="5"/>
        <v>36</v>
      </c>
    </row>
    <row r="13" spans="1:14" x14ac:dyDescent="0.25">
      <c r="A13" s="196">
        <v>7</v>
      </c>
      <c r="B13" s="197" t="s">
        <v>260</v>
      </c>
      <c r="C13" s="196">
        <v>77</v>
      </c>
      <c r="D13" s="196">
        <v>94</v>
      </c>
      <c r="E13" s="196">
        <f t="shared" si="1"/>
        <v>86</v>
      </c>
      <c r="F13" s="196">
        <f t="shared" si="0"/>
        <v>104</v>
      </c>
      <c r="G13" s="198">
        <v>95</v>
      </c>
      <c r="H13" s="198">
        <v>114</v>
      </c>
      <c r="I13" s="208">
        <v>120</v>
      </c>
      <c r="J13" s="208">
        <v>146</v>
      </c>
      <c r="K13" s="203">
        <f t="shared" si="2"/>
        <v>126.31578947368421</v>
      </c>
      <c r="L13" s="203">
        <f t="shared" si="3"/>
        <v>128.07017543859649</v>
      </c>
      <c r="M13" s="204">
        <f t="shared" si="4"/>
        <v>25</v>
      </c>
      <c r="N13" s="205">
        <f t="shared" si="5"/>
        <v>32</v>
      </c>
    </row>
    <row r="14" spans="1:14" x14ac:dyDescent="0.25">
      <c r="A14" s="196">
        <v>8</v>
      </c>
      <c r="B14" s="197" t="s">
        <v>261</v>
      </c>
      <c r="C14" s="196">
        <v>77</v>
      </c>
      <c r="D14" s="196">
        <v>94</v>
      </c>
      <c r="E14" s="196">
        <f t="shared" si="1"/>
        <v>86</v>
      </c>
      <c r="F14" s="196">
        <f t="shared" si="0"/>
        <v>104</v>
      </c>
      <c r="G14" s="198">
        <v>95</v>
      </c>
      <c r="H14" s="198">
        <v>114</v>
      </c>
      <c r="I14" s="208">
        <v>120</v>
      </c>
      <c r="J14" s="208">
        <v>146</v>
      </c>
      <c r="K14" s="203">
        <f t="shared" si="2"/>
        <v>126.31578947368421</v>
      </c>
      <c r="L14" s="203">
        <f t="shared" si="3"/>
        <v>128.07017543859649</v>
      </c>
      <c r="M14" s="204">
        <f t="shared" si="4"/>
        <v>25</v>
      </c>
      <c r="N14" s="205">
        <f t="shared" si="5"/>
        <v>32</v>
      </c>
    </row>
    <row r="15" spans="1:14" x14ac:dyDescent="0.25">
      <c r="A15" s="196">
        <v>9</v>
      </c>
      <c r="B15" s="197" t="s">
        <v>262</v>
      </c>
      <c r="C15" s="196">
        <v>73</v>
      </c>
      <c r="D15" s="196">
        <v>90</v>
      </c>
      <c r="E15" s="196">
        <f t="shared" si="1"/>
        <v>81</v>
      </c>
      <c r="F15" s="196">
        <f t="shared" si="0"/>
        <v>100</v>
      </c>
      <c r="G15" s="198">
        <v>90</v>
      </c>
      <c r="H15" s="198">
        <v>109</v>
      </c>
      <c r="I15" s="208">
        <v>115</v>
      </c>
      <c r="J15" s="208">
        <v>141</v>
      </c>
      <c r="K15" s="203">
        <f t="shared" si="2"/>
        <v>127.77777777777777</v>
      </c>
      <c r="L15" s="203">
        <f t="shared" si="3"/>
        <v>129.35779816513761</v>
      </c>
      <c r="M15" s="204">
        <f t="shared" si="4"/>
        <v>25</v>
      </c>
      <c r="N15" s="205">
        <f t="shared" si="5"/>
        <v>32</v>
      </c>
    </row>
    <row r="16" spans="1:14" ht="31.5" customHeight="1" x14ac:dyDescent="0.25">
      <c r="A16" s="196">
        <v>10</v>
      </c>
      <c r="B16" s="194" t="s">
        <v>91</v>
      </c>
      <c r="C16" s="198">
        <v>90</v>
      </c>
      <c r="D16" s="198">
        <v>109</v>
      </c>
      <c r="E16" s="198">
        <f t="shared" si="1"/>
        <v>100</v>
      </c>
      <c r="F16" s="198">
        <f t="shared" si="0"/>
        <v>121</v>
      </c>
      <c r="G16" s="198">
        <v>109</v>
      </c>
      <c r="H16" s="198">
        <v>133</v>
      </c>
      <c r="I16" s="208">
        <v>141</v>
      </c>
      <c r="J16" s="209">
        <v>173</v>
      </c>
      <c r="K16" s="203">
        <f t="shared" si="2"/>
        <v>129.35779816513761</v>
      </c>
      <c r="L16" s="203">
        <f t="shared" si="3"/>
        <v>130.0751879699248</v>
      </c>
      <c r="M16" s="204">
        <f t="shared" si="4"/>
        <v>32</v>
      </c>
      <c r="N16" s="205">
        <f t="shared" si="5"/>
        <v>40</v>
      </c>
    </row>
    <row r="17" spans="1:14" x14ac:dyDescent="0.25">
      <c r="A17" s="196">
        <v>11</v>
      </c>
      <c r="B17" s="197" t="s">
        <v>263</v>
      </c>
      <c r="C17" s="196">
        <v>81</v>
      </c>
      <c r="D17" s="196">
        <v>99</v>
      </c>
      <c r="E17" s="196">
        <f t="shared" si="1"/>
        <v>90</v>
      </c>
      <c r="F17" s="196">
        <f t="shared" si="0"/>
        <v>110</v>
      </c>
      <c r="G17" s="198">
        <v>99</v>
      </c>
      <c r="H17" s="198">
        <v>121</v>
      </c>
      <c r="I17" s="208">
        <v>128</v>
      </c>
      <c r="J17" s="208">
        <v>157</v>
      </c>
      <c r="K17" s="203">
        <f t="shared" si="2"/>
        <v>129.2929292929293</v>
      </c>
      <c r="L17" s="203">
        <f t="shared" si="3"/>
        <v>129.75206611570246</v>
      </c>
      <c r="M17" s="204">
        <f t="shared" si="4"/>
        <v>29</v>
      </c>
      <c r="N17" s="205">
        <f t="shared" si="5"/>
        <v>36</v>
      </c>
    </row>
    <row r="18" spans="1:14" x14ac:dyDescent="0.25">
      <c r="A18" s="196">
        <v>12</v>
      </c>
      <c r="B18" s="197" t="s">
        <v>264</v>
      </c>
      <c r="C18" s="196">
        <v>86</v>
      </c>
      <c r="D18" s="196">
        <v>104</v>
      </c>
      <c r="E18" s="196">
        <f t="shared" si="1"/>
        <v>96</v>
      </c>
      <c r="F18" s="196">
        <f t="shared" si="0"/>
        <v>116</v>
      </c>
      <c r="G18" s="198">
        <v>99</v>
      </c>
      <c r="H18" s="198">
        <v>121</v>
      </c>
      <c r="I18" s="208">
        <v>128</v>
      </c>
      <c r="J18" s="208">
        <v>157</v>
      </c>
      <c r="K18" s="203">
        <f t="shared" si="2"/>
        <v>129.2929292929293</v>
      </c>
      <c r="L18" s="203">
        <f t="shared" si="3"/>
        <v>129.75206611570246</v>
      </c>
      <c r="M18" s="204">
        <f t="shared" si="4"/>
        <v>29</v>
      </c>
      <c r="N18" s="205">
        <f t="shared" si="5"/>
        <v>36</v>
      </c>
    </row>
    <row r="19" spans="1:14" x14ac:dyDescent="0.25">
      <c r="A19" s="196">
        <v>13</v>
      </c>
      <c r="B19" s="197" t="s">
        <v>265</v>
      </c>
      <c r="C19" s="196">
        <v>73</v>
      </c>
      <c r="D19" s="196">
        <v>90</v>
      </c>
      <c r="E19" s="196">
        <f t="shared" si="1"/>
        <v>81</v>
      </c>
      <c r="F19" s="196">
        <f t="shared" si="0"/>
        <v>100</v>
      </c>
      <c r="G19" s="198">
        <v>90</v>
      </c>
      <c r="H19" s="198">
        <v>109</v>
      </c>
      <c r="I19" s="208">
        <v>115</v>
      </c>
      <c r="J19" s="208">
        <v>141</v>
      </c>
      <c r="K19" s="203">
        <f t="shared" si="2"/>
        <v>127.77777777777777</v>
      </c>
      <c r="L19" s="203">
        <f t="shared" si="3"/>
        <v>129.35779816513761</v>
      </c>
      <c r="M19" s="204">
        <f t="shared" si="4"/>
        <v>25</v>
      </c>
      <c r="N19" s="205">
        <f t="shared" si="5"/>
        <v>32</v>
      </c>
    </row>
    <row r="20" spans="1:14" x14ac:dyDescent="0.25">
      <c r="A20" s="196">
        <v>14</v>
      </c>
      <c r="B20" s="197" t="s">
        <v>266</v>
      </c>
      <c r="C20" s="196">
        <v>73</v>
      </c>
      <c r="D20" s="196">
        <v>90</v>
      </c>
      <c r="E20" s="196">
        <f t="shared" si="1"/>
        <v>81</v>
      </c>
      <c r="F20" s="196">
        <f t="shared" si="0"/>
        <v>100</v>
      </c>
      <c r="G20" s="198">
        <v>90</v>
      </c>
      <c r="H20" s="198">
        <v>109</v>
      </c>
      <c r="I20" s="208">
        <v>115</v>
      </c>
      <c r="J20" s="208">
        <v>141</v>
      </c>
      <c r="K20" s="203">
        <f t="shared" si="2"/>
        <v>127.77777777777777</v>
      </c>
      <c r="L20" s="203">
        <f t="shared" si="3"/>
        <v>129.35779816513761</v>
      </c>
      <c r="M20" s="204">
        <f t="shared" si="4"/>
        <v>25</v>
      </c>
      <c r="N20" s="205">
        <f t="shared" si="5"/>
        <v>32</v>
      </c>
    </row>
    <row r="21" spans="1:14" x14ac:dyDescent="0.25">
      <c r="A21" s="196">
        <v>15</v>
      </c>
      <c r="B21" s="197" t="s">
        <v>267</v>
      </c>
      <c r="C21" s="196">
        <v>73</v>
      </c>
      <c r="D21" s="196">
        <v>90</v>
      </c>
      <c r="E21" s="196">
        <f t="shared" si="1"/>
        <v>81</v>
      </c>
      <c r="F21" s="196">
        <f t="shared" si="0"/>
        <v>100</v>
      </c>
      <c r="G21" s="198">
        <v>90</v>
      </c>
      <c r="H21" s="198">
        <v>109</v>
      </c>
      <c r="I21" s="208">
        <v>115</v>
      </c>
      <c r="J21" s="208">
        <v>141</v>
      </c>
      <c r="K21" s="203">
        <f t="shared" si="2"/>
        <v>127.77777777777777</v>
      </c>
      <c r="L21" s="203">
        <f t="shared" si="3"/>
        <v>129.35779816513761</v>
      </c>
      <c r="M21" s="204">
        <f t="shared" si="4"/>
        <v>25</v>
      </c>
      <c r="N21" s="205">
        <f t="shared" si="5"/>
        <v>32</v>
      </c>
    </row>
    <row r="22" spans="1:14" x14ac:dyDescent="0.25">
      <c r="A22" s="196">
        <v>16</v>
      </c>
      <c r="B22" s="197" t="s">
        <v>268</v>
      </c>
      <c r="C22" s="196">
        <v>77</v>
      </c>
      <c r="D22" s="196">
        <v>94</v>
      </c>
      <c r="E22" s="196">
        <f t="shared" si="1"/>
        <v>86</v>
      </c>
      <c r="F22" s="196">
        <f t="shared" si="0"/>
        <v>104</v>
      </c>
      <c r="G22" s="198">
        <v>95</v>
      </c>
      <c r="H22" s="198">
        <v>114</v>
      </c>
      <c r="I22" s="208">
        <v>120</v>
      </c>
      <c r="J22" s="208">
        <v>146</v>
      </c>
      <c r="K22" s="203">
        <f t="shared" si="2"/>
        <v>126.31578947368421</v>
      </c>
      <c r="L22" s="203">
        <f t="shared" si="3"/>
        <v>128.07017543859649</v>
      </c>
      <c r="M22" s="204">
        <f t="shared" si="4"/>
        <v>25</v>
      </c>
      <c r="N22" s="205">
        <f t="shared" si="5"/>
        <v>32</v>
      </c>
    </row>
    <row r="23" spans="1:14" x14ac:dyDescent="0.25">
      <c r="A23" s="196">
        <v>17</v>
      </c>
      <c r="B23" s="197" t="s">
        <v>269</v>
      </c>
      <c r="C23" s="196">
        <v>77</v>
      </c>
      <c r="D23" s="196">
        <v>94</v>
      </c>
      <c r="E23" s="196">
        <f t="shared" si="1"/>
        <v>86</v>
      </c>
      <c r="F23" s="196">
        <f t="shared" si="0"/>
        <v>104</v>
      </c>
      <c r="G23" s="198">
        <v>95</v>
      </c>
      <c r="H23" s="198">
        <v>114</v>
      </c>
      <c r="I23" s="208">
        <v>120</v>
      </c>
      <c r="J23" s="208">
        <v>146</v>
      </c>
      <c r="K23" s="203">
        <f t="shared" si="2"/>
        <v>126.31578947368421</v>
      </c>
      <c r="L23" s="203">
        <f t="shared" si="3"/>
        <v>128.07017543859649</v>
      </c>
      <c r="M23" s="204">
        <f t="shared" si="4"/>
        <v>25</v>
      </c>
      <c r="N23" s="205">
        <f t="shared" si="5"/>
        <v>32</v>
      </c>
    </row>
    <row r="24" spans="1:14" x14ac:dyDescent="0.25">
      <c r="A24" s="196">
        <v>18</v>
      </c>
      <c r="B24" s="197" t="s">
        <v>272</v>
      </c>
      <c r="C24" s="196">
        <v>77</v>
      </c>
      <c r="D24" s="196">
        <v>94</v>
      </c>
      <c r="E24" s="196">
        <f t="shared" si="1"/>
        <v>86</v>
      </c>
      <c r="F24" s="196">
        <f t="shared" si="0"/>
        <v>104</v>
      </c>
      <c r="G24" s="198">
        <v>95</v>
      </c>
      <c r="H24" s="198">
        <v>114</v>
      </c>
      <c r="I24" s="208">
        <v>120</v>
      </c>
      <c r="J24" s="208">
        <v>146</v>
      </c>
      <c r="K24" s="203">
        <f t="shared" si="2"/>
        <v>126.31578947368421</v>
      </c>
      <c r="L24" s="203">
        <f t="shared" si="3"/>
        <v>128.07017543859649</v>
      </c>
      <c r="M24" s="204">
        <f t="shared" si="4"/>
        <v>25</v>
      </c>
      <c r="N24" s="205">
        <f t="shared" si="5"/>
        <v>32</v>
      </c>
    </row>
    <row r="25" spans="1:14" x14ac:dyDescent="0.25">
      <c r="A25" s="196">
        <v>19</v>
      </c>
      <c r="B25" s="197" t="s">
        <v>270</v>
      </c>
      <c r="C25" s="196">
        <v>73</v>
      </c>
      <c r="D25" s="196">
        <v>90</v>
      </c>
      <c r="E25" s="196">
        <f t="shared" si="1"/>
        <v>81</v>
      </c>
      <c r="F25" s="196">
        <f t="shared" si="0"/>
        <v>100</v>
      </c>
      <c r="G25" s="198">
        <v>90</v>
      </c>
      <c r="H25" s="198">
        <v>109</v>
      </c>
      <c r="I25" s="208">
        <v>115</v>
      </c>
      <c r="J25" s="208">
        <v>141</v>
      </c>
      <c r="K25" s="203">
        <f t="shared" si="2"/>
        <v>127.77777777777777</v>
      </c>
      <c r="L25" s="203">
        <f t="shared" si="3"/>
        <v>129.35779816513761</v>
      </c>
      <c r="M25" s="204">
        <f t="shared" si="4"/>
        <v>25</v>
      </c>
      <c r="N25" s="205">
        <f t="shared" si="5"/>
        <v>32</v>
      </c>
    </row>
    <row r="26" spans="1:14" x14ac:dyDescent="0.25">
      <c r="A26" s="196">
        <v>20</v>
      </c>
      <c r="B26" s="197" t="s">
        <v>271</v>
      </c>
      <c r="C26" s="196">
        <v>73</v>
      </c>
      <c r="D26" s="196">
        <v>90</v>
      </c>
      <c r="E26" s="196">
        <f t="shared" si="1"/>
        <v>81</v>
      </c>
      <c r="F26" s="196">
        <f t="shared" si="0"/>
        <v>100</v>
      </c>
      <c r="G26" s="198">
        <v>90</v>
      </c>
      <c r="H26" s="198">
        <v>109</v>
      </c>
      <c r="I26" s="208">
        <v>115</v>
      </c>
      <c r="J26" s="208">
        <v>141</v>
      </c>
      <c r="K26" s="203">
        <f t="shared" si="2"/>
        <v>127.77777777777777</v>
      </c>
      <c r="L26" s="203">
        <f t="shared" si="3"/>
        <v>129.35779816513761</v>
      </c>
      <c r="M26" s="204">
        <f t="shared" si="4"/>
        <v>25</v>
      </c>
      <c r="N26" s="205">
        <f t="shared" si="5"/>
        <v>32</v>
      </c>
    </row>
    <row r="27" spans="1:14" x14ac:dyDescent="0.25">
      <c r="A27" s="196">
        <v>21</v>
      </c>
      <c r="B27" s="195" t="s">
        <v>83</v>
      </c>
      <c r="C27" s="196">
        <v>73</v>
      </c>
      <c r="D27" s="196">
        <v>90</v>
      </c>
      <c r="E27" s="196">
        <f t="shared" si="1"/>
        <v>81</v>
      </c>
      <c r="F27" s="196">
        <f t="shared" si="0"/>
        <v>100</v>
      </c>
      <c r="G27" s="198">
        <v>90</v>
      </c>
      <c r="H27" s="198">
        <v>109</v>
      </c>
      <c r="I27" s="208">
        <v>115</v>
      </c>
      <c r="J27" s="208">
        <v>141</v>
      </c>
      <c r="K27" s="203">
        <f t="shared" si="2"/>
        <v>127.77777777777777</v>
      </c>
      <c r="L27" s="203">
        <f t="shared" si="3"/>
        <v>129.35779816513761</v>
      </c>
      <c r="M27" s="204">
        <f t="shared" si="4"/>
        <v>25</v>
      </c>
      <c r="N27" s="205">
        <f t="shared" si="5"/>
        <v>32</v>
      </c>
    </row>
    <row r="28" spans="1:14" x14ac:dyDescent="0.25">
      <c r="A28" s="196">
        <v>22</v>
      </c>
      <c r="B28" s="195" t="s">
        <v>84</v>
      </c>
      <c r="C28" s="196">
        <v>73</v>
      </c>
      <c r="D28" s="196">
        <v>90</v>
      </c>
      <c r="E28" s="196">
        <f t="shared" si="1"/>
        <v>81</v>
      </c>
      <c r="F28" s="196">
        <f t="shared" si="0"/>
        <v>100</v>
      </c>
      <c r="G28" s="198">
        <v>90</v>
      </c>
      <c r="H28" s="198">
        <v>109</v>
      </c>
      <c r="I28" s="208">
        <v>115</v>
      </c>
      <c r="J28" s="208">
        <v>141</v>
      </c>
      <c r="K28" s="203">
        <f t="shared" si="2"/>
        <v>127.77777777777777</v>
      </c>
      <c r="L28" s="203">
        <f t="shared" si="3"/>
        <v>129.35779816513761</v>
      </c>
      <c r="M28" s="204">
        <f t="shared" si="4"/>
        <v>25</v>
      </c>
      <c r="N28" s="205">
        <f t="shared" si="5"/>
        <v>32</v>
      </c>
    </row>
    <row r="29" spans="1:14" x14ac:dyDescent="0.25">
      <c r="A29" s="196">
        <v>23</v>
      </c>
      <c r="B29" s="195" t="s">
        <v>85</v>
      </c>
      <c r="C29" s="196">
        <v>73</v>
      </c>
      <c r="D29" s="196">
        <v>90</v>
      </c>
      <c r="E29" s="196">
        <f t="shared" si="1"/>
        <v>81</v>
      </c>
      <c r="F29" s="196">
        <f t="shared" si="0"/>
        <v>100</v>
      </c>
      <c r="G29" s="198">
        <v>90</v>
      </c>
      <c r="H29" s="198">
        <v>109</v>
      </c>
      <c r="I29" s="208">
        <v>115</v>
      </c>
      <c r="J29" s="208">
        <v>141</v>
      </c>
      <c r="K29" s="203">
        <f t="shared" si="2"/>
        <v>127.77777777777777</v>
      </c>
      <c r="L29" s="203">
        <f t="shared" si="3"/>
        <v>129.35779816513761</v>
      </c>
      <c r="M29" s="204">
        <f t="shared" si="4"/>
        <v>25</v>
      </c>
      <c r="N29" s="205">
        <f t="shared" si="5"/>
        <v>32</v>
      </c>
    </row>
    <row r="30" spans="1:14" x14ac:dyDescent="0.25">
      <c r="A30" s="196">
        <v>24</v>
      </c>
      <c r="B30" s="195" t="s">
        <v>86</v>
      </c>
      <c r="C30" s="196">
        <v>73</v>
      </c>
      <c r="D30" s="196">
        <v>90</v>
      </c>
      <c r="E30" s="196">
        <f t="shared" si="1"/>
        <v>81</v>
      </c>
      <c r="F30" s="196">
        <f t="shared" si="0"/>
        <v>100</v>
      </c>
      <c r="G30" s="198">
        <v>90</v>
      </c>
      <c r="H30" s="198">
        <v>109</v>
      </c>
      <c r="I30" s="208">
        <v>115</v>
      </c>
      <c r="J30" s="208">
        <v>141</v>
      </c>
      <c r="K30" s="203">
        <f t="shared" si="2"/>
        <v>127.77777777777777</v>
      </c>
      <c r="L30" s="203">
        <f t="shared" si="3"/>
        <v>129.35779816513761</v>
      </c>
      <c r="M30" s="204">
        <f t="shared" si="4"/>
        <v>25</v>
      </c>
      <c r="N30" s="205">
        <f t="shared" si="5"/>
        <v>32</v>
      </c>
    </row>
    <row r="31" spans="1:14" x14ac:dyDescent="0.25">
      <c r="A31" s="196">
        <v>25</v>
      </c>
      <c r="B31" s="195" t="s">
        <v>87</v>
      </c>
      <c r="C31" s="196">
        <v>73</v>
      </c>
      <c r="D31" s="196">
        <v>90</v>
      </c>
      <c r="E31" s="196">
        <f t="shared" si="1"/>
        <v>81</v>
      </c>
      <c r="F31" s="196">
        <f t="shared" si="0"/>
        <v>100</v>
      </c>
      <c r="G31" s="198">
        <v>90</v>
      </c>
      <c r="H31" s="198">
        <v>109</v>
      </c>
      <c r="I31" s="208">
        <v>115</v>
      </c>
      <c r="J31" s="208">
        <v>141</v>
      </c>
      <c r="K31" s="203">
        <f t="shared" si="2"/>
        <v>127.77777777777777</v>
      </c>
      <c r="L31" s="203">
        <f t="shared" si="3"/>
        <v>129.35779816513761</v>
      </c>
      <c r="M31" s="204">
        <f t="shared" si="4"/>
        <v>25</v>
      </c>
      <c r="N31" s="205">
        <f t="shared" si="5"/>
        <v>32</v>
      </c>
    </row>
    <row r="32" spans="1:14" ht="17.25" customHeight="1" x14ac:dyDescent="0.25">
      <c r="A32" s="487" t="s">
        <v>246</v>
      </c>
      <c r="B32" s="488"/>
      <c r="C32" s="488"/>
      <c r="D32" s="488"/>
      <c r="E32" s="488"/>
      <c r="F32" s="488"/>
      <c r="G32" s="488"/>
      <c r="H32" s="488"/>
      <c r="I32" s="488"/>
      <c r="J32" s="488"/>
      <c r="K32" s="488"/>
      <c r="L32" s="488"/>
    </row>
    <row r="33" spans="1:14" ht="29.25" customHeight="1" x14ac:dyDescent="0.25">
      <c r="A33" s="198">
        <v>1</v>
      </c>
      <c r="B33" s="199" t="s">
        <v>228</v>
      </c>
      <c r="C33" s="200"/>
      <c r="D33" s="200"/>
      <c r="E33" s="200"/>
      <c r="F33" s="200"/>
      <c r="G33" s="198">
        <v>28</v>
      </c>
      <c r="H33" s="198">
        <v>34</v>
      </c>
      <c r="I33" s="198">
        <v>54</v>
      </c>
      <c r="J33" s="198">
        <v>61</v>
      </c>
      <c r="K33" s="203">
        <f t="shared" si="2"/>
        <v>192.85714285714286</v>
      </c>
      <c r="L33" s="203">
        <f>J33/H33*100</f>
        <v>179.41176470588235</v>
      </c>
      <c r="M33" s="204">
        <f>I33-G33</f>
        <v>26</v>
      </c>
      <c r="N33" s="205">
        <f>J33-H33</f>
        <v>27</v>
      </c>
    </row>
    <row r="34" spans="1:14" ht="30" x14ac:dyDescent="0.25">
      <c r="A34" s="198">
        <v>2</v>
      </c>
      <c r="B34" s="199" t="s">
        <v>247</v>
      </c>
      <c r="C34" s="200"/>
      <c r="D34" s="200"/>
      <c r="E34" s="200"/>
      <c r="F34" s="200"/>
      <c r="G34" s="198">
        <v>9</v>
      </c>
      <c r="H34" s="198">
        <v>11</v>
      </c>
      <c r="I34" s="198">
        <v>29</v>
      </c>
      <c r="J34" s="198">
        <v>31</v>
      </c>
      <c r="K34" s="203">
        <f t="shared" si="2"/>
        <v>322.22222222222223</v>
      </c>
      <c r="L34" s="203">
        <f>J34/H34*100</f>
        <v>281.81818181818181</v>
      </c>
      <c r="M34" s="204">
        <f t="shared" ref="M34:M40" si="6">I34-G34</f>
        <v>20</v>
      </c>
      <c r="N34" s="205">
        <f t="shared" ref="N34:N40" si="7">J34-H34</f>
        <v>20</v>
      </c>
    </row>
    <row r="35" spans="1:14" ht="30" x14ac:dyDescent="0.25">
      <c r="A35" s="198">
        <v>3</v>
      </c>
      <c r="B35" s="199" t="s">
        <v>248</v>
      </c>
      <c r="C35" s="200"/>
      <c r="D35" s="200"/>
      <c r="E35" s="200"/>
      <c r="F35" s="200"/>
      <c r="G35" s="198">
        <v>39</v>
      </c>
      <c r="H35" s="198">
        <v>47</v>
      </c>
      <c r="I35" s="198">
        <v>68</v>
      </c>
      <c r="J35" s="198">
        <v>79</v>
      </c>
      <c r="K35" s="203">
        <f t="shared" si="2"/>
        <v>174.35897435897436</v>
      </c>
      <c r="L35" s="203">
        <f t="shared" ref="L35:L40" si="8">J35/H35*100</f>
        <v>168.08510638297872</v>
      </c>
      <c r="M35" s="204">
        <f t="shared" si="6"/>
        <v>29</v>
      </c>
      <c r="N35" s="205">
        <f t="shared" si="7"/>
        <v>32</v>
      </c>
    </row>
    <row r="36" spans="1:14" ht="30" x14ac:dyDescent="0.25">
      <c r="A36" s="198">
        <v>4</v>
      </c>
      <c r="B36" s="199" t="s">
        <v>249</v>
      </c>
      <c r="C36" s="200"/>
      <c r="D36" s="200"/>
      <c r="E36" s="200"/>
      <c r="F36" s="200"/>
      <c r="G36" s="198">
        <v>16</v>
      </c>
      <c r="H36" s="198">
        <v>19</v>
      </c>
      <c r="I36" s="198">
        <v>38</v>
      </c>
      <c r="J36" s="198">
        <v>42</v>
      </c>
      <c r="K36" s="203">
        <f t="shared" si="2"/>
        <v>237.5</v>
      </c>
      <c r="L36" s="203">
        <f t="shared" si="8"/>
        <v>221.0526315789474</v>
      </c>
      <c r="M36" s="204">
        <f t="shared" si="6"/>
        <v>22</v>
      </c>
      <c r="N36" s="205">
        <f t="shared" si="7"/>
        <v>23</v>
      </c>
    </row>
    <row r="37" spans="1:14" ht="30" x14ac:dyDescent="0.25">
      <c r="A37" s="198">
        <v>5</v>
      </c>
      <c r="B37" s="199" t="s">
        <v>250</v>
      </c>
      <c r="C37" s="200"/>
      <c r="D37" s="200"/>
      <c r="E37" s="200"/>
      <c r="F37" s="200"/>
      <c r="G37" s="198">
        <v>31</v>
      </c>
      <c r="H37" s="198">
        <v>37</v>
      </c>
      <c r="I37" s="198">
        <v>58</v>
      </c>
      <c r="J37" s="198">
        <v>66</v>
      </c>
      <c r="K37" s="203">
        <f t="shared" si="2"/>
        <v>187.09677419354838</v>
      </c>
      <c r="L37" s="203">
        <f t="shared" si="8"/>
        <v>178.37837837837839</v>
      </c>
      <c r="M37" s="204">
        <f t="shared" si="6"/>
        <v>27</v>
      </c>
      <c r="N37" s="205">
        <f t="shared" si="7"/>
        <v>29</v>
      </c>
    </row>
    <row r="38" spans="1:14" ht="30" x14ac:dyDescent="0.25">
      <c r="A38" s="198">
        <v>6</v>
      </c>
      <c r="B38" s="199" t="s">
        <v>251</v>
      </c>
      <c r="C38" s="200"/>
      <c r="D38" s="200"/>
      <c r="E38" s="200"/>
      <c r="F38" s="200"/>
      <c r="G38" s="198">
        <v>10</v>
      </c>
      <c r="H38" s="198">
        <v>11</v>
      </c>
      <c r="I38" s="198">
        <v>30</v>
      </c>
      <c r="J38" s="198">
        <v>32</v>
      </c>
      <c r="K38" s="203">
        <f t="shared" si="2"/>
        <v>300</v>
      </c>
      <c r="L38" s="203">
        <f t="shared" si="8"/>
        <v>290.90909090909093</v>
      </c>
      <c r="M38" s="204">
        <f t="shared" si="6"/>
        <v>20</v>
      </c>
      <c r="N38" s="205">
        <f t="shared" si="7"/>
        <v>21</v>
      </c>
    </row>
    <row r="39" spans="1:14" ht="30" x14ac:dyDescent="0.25">
      <c r="A39" s="198">
        <v>7</v>
      </c>
      <c r="B39" s="199" t="s">
        <v>252</v>
      </c>
      <c r="C39" s="200"/>
      <c r="D39" s="200"/>
      <c r="E39" s="200"/>
      <c r="F39" s="200"/>
      <c r="G39" s="198">
        <v>43</v>
      </c>
      <c r="H39" s="198">
        <v>52</v>
      </c>
      <c r="I39" s="198">
        <v>73</v>
      </c>
      <c r="J39" s="198">
        <v>86</v>
      </c>
      <c r="K39" s="203">
        <f t="shared" si="2"/>
        <v>169.76744186046511</v>
      </c>
      <c r="L39" s="203">
        <f t="shared" si="8"/>
        <v>165.38461538461539</v>
      </c>
      <c r="M39" s="204">
        <f t="shared" si="6"/>
        <v>30</v>
      </c>
      <c r="N39" s="205">
        <f t="shared" si="7"/>
        <v>34</v>
      </c>
    </row>
    <row r="40" spans="1:14" ht="30" x14ac:dyDescent="0.25">
      <c r="A40" s="198">
        <v>8</v>
      </c>
      <c r="B40" s="199" t="s">
        <v>253</v>
      </c>
      <c r="C40" s="200"/>
      <c r="D40" s="200"/>
      <c r="E40" s="200"/>
      <c r="F40" s="200"/>
      <c r="G40" s="198">
        <v>18</v>
      </c>
      <c r="H40" s="198">
        <v>21</v>
      </c>
      <c r="I40" s="198">
        <v>40</v>
      </c>
      <c r="J40" s="198">
        <v>45</v>
      </c>
      <c r="K40" s="203">
        <f t="shared" si="2"/>
        <v>222.22222222222223</v>
      </c>
      <c r="L40" s="203">
        <f t="shared" si="8"/>
        <v>214.28571428571428</v>
      </c>
      <c r="M40" s="204">
        <f t="shared" si="6"/>
        <v>22</v>
      </c>
      <c r="N40" s="205">
        <f t="shared" si="7"/>
        <v>24</v>
      </c>
    </row>
  </sheetData>
  <mergeCells count="21">
    <mergeCell ref="M4:N4"/>
    <mergeCell ref="M5:M6"/>
    <mergeCell ref="N5:N6"/>
    <mergeCell ref="J5:J6"/>
    <mergeCell ref="G4:H4"/>
    <mergeCell ref="G5:G6"/>
    <mergeCell ref="H5:H6"/>
    <mergeCell ref="K4:L4"/>
    <mergeCell ref="K5:K6"/>
    <mergeCell ref="L5:L6"/>
    <mergeCell ref="A32:L32"/>
    <mergeCell ref="A4:A6"/>
    <mergeCell ref="B4:B6"/>
    <mergeCell ref="C4:D4"/>
    <mergeCell ref="E4:F4"/>
    <mergeCell ref="I4:J4"/>
    <mergeCell ref="C5:C6"/>
    <mergeCell ref="D5:D6"/>
    <mergeCell ref="E5:E6"/>
    <mergeCell ref="F5:F6"/>
    <mergeCell ref="I5:I6"/>
  </mergeCells>
  <conditionalFormatting sqref="B7:B8">
    <cfRule type="cellIs" dxfId="16" priority="8" stopIfTrue="1" operator="equal">
      <formula>"ИТОГО"</formula>
    </cfRule>
  </conditionalFormatting>
  <conditionalFormatting sqref="B9">
    <cfRule type="cellIs" dxfId="15" priority="7" stopIfTrue="1" operator="equal">
      <formula>"ИТОГО"</formula>
    </cfRule>
  </conditionalFormatting>
  <conditionalFormatting sqref="B10">
    <cfRule type="cellIs" dxfId="14" priority="6" stopIfTrue="1" operator="equal">
      <formula>"ИТОГО"</formula>
    </cfRule>
  </conditionalFormatting>
  <conditionalFormatting sqref="B11">
    <cfRule type="cellIs" dxfId="13" priority="5" stopIfTrue="1" operator="equal">
      <formula>"ИТОГО"</formula>
    </cfRule>
  </conditionalFormatting>
  <conditionalFormatting sqref="B12">
    <cfRule type="cellIs" dxfId="12" priority="4" stopIfTrue="1" operator="equal">
      <formula>"ИТОГО"</formula>
    </cfRule>
  </conditionalFormatting>
  <conditionalFormatting sqref="B13:B15">
    <cfRule type="cellIs" dxfId="11" priority="3" stopIfTrue="1" operator="equal">
      <formula>"ИТОГО"</formula>
    </cfRule>
  </conditionalFormatting>
  <conditionalFormatting sqref="B17:B19">
    <cfRule type="cellIs" dxfId="10" priority="2" stopIfTrue="1" operator="equal">
      <formula>"ИТОГО"</formula>
    </cfRule>
  </conditionalFormatting>
  <conditionalFormatting sqref="B20:B26">
    <cfRule type="cellIs" dxfId="9" priority="1" stopIfTrue="1" operator="equal">
      <formula>"ИТОГО"</formula>
    </cfRule>
  </conditionalFormatting>
  <pageMargins left="0.25" right="0.25" top="0.75" bottom="0.75" header="0.3" footer="0.3"/>
  <pageSetup paperSize="9" scale="6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view="pageBreakPreview" topLeftCell="A8" zoomScale="85" zoomScaleNormal="100" zoomScaleSheetLayoutView="85" workbookViewId="0">
      <selection activeCell="K4" sqref="K4:L4"/>
    </sheetView>
  </sheetViews>
  <sheetFormatPr defaultRowHeight="15" x14ac:dyDescent="0.25"/>
  <cols>
    <col min="2" max="2" width="43.7109375" customWidth="1"/>
    <col min="3" max="4" width="12.85546875" hidden="1" customWidth="1"/>
    <col min="5" max="5" width="14.42578125" hidden="1" customWidth="1"/>
    <col min="6" max="6" width="12.42578125" hidden="1" customWidth="1"/>
    <col min="7" max="12" width="12.42578125" customWidth="1"/>
  </cols>
  <sheetData>
    <row r="1" spans="1:12" hidden="1" x14ac:dyDescent="0.25">
      <c r="B1" t="s">
        <v>206</v>
      </c>
    </row>
    <row r="2" spans="1:12" x14ac:dyDescent="0.25">
      <c r="A2" s="153" t="s">
        <v>207</v>
      </c>
    </row>
    <row r="3" spans="1:12" ht="15.75" thickBot="1" x14ac:dyDescent="0.3">
      <c r="F3">
        <v>1.111</v>
      </c>
    </row>
    <row r="4" spans="1:12" ht="56.45" customHeight="1" thickBot="1" x14ac:dyDescent="0.3">
      <c r="A4" s="506" t="s">
        <v>137</v>
      </c>
      <c r="B4" s="498" t="s">
        <v>90</v>
      </c>
      <c r="C4" s="501" t="s">
        <v>103</v>
      </c>
      <c r="D4" s="493"/>
      <c r="E4" s="493" t="s">
        <v>205</v>
      </c>
      <c r="F4" s="500"/>
      <c r="G4" s="502" t="s">
        <v>282</v>
      </c>
      <c r="H4" s="503"/>
      <c r="I4" s="494" t="s">
        <v>283</v>
      </c>
      <c r="J4" s="495"/>
      <c r="K4" s="494" t="s">
        <v>281</v>
      </c>
      <c r="L4" s="495"/>
    </row>
    <row r="5" spans="1:12" ht="6" customHeight="1" x14ac:dyDescent="0.25">
      <c r="A5" s="507"/>
      <c r="B5" s="499"/>
      <c r="C5" s="501" t="s">
        <v>88</v>
      </c>
      <c r="D5" s="493" t="s">
        <v>89</v>
      </c>
      <c r="E5" s="493" t="s">
        <v>88</v>
      </c>
      <c r="F5" s="500" t="s">
        <v>89</v>
      </c>
      <c r="G5" s="504" t="s">
        <v>88</v>
      </c>
      <c r="H5" s="505" t="s">
        <v>89</v>
      </c>
      <c r="I5" s="496" t="s">
        <v>88</v>
      </c>
      <c r="J5" s="497" t="s">
        <v>89</v>
      </c>
      <c r="K5" s="496" t="s">
        <v>88</v>
      </c>
      <c r="L5" s="497" t="s">
        <v>89</v>
      </c>
    </row>
    <row r="6" spans="1:12" ht="6" customHeight="1" x14ac:dyDescent="0.25">
      <c r="A6" s="508"/>
      <c r="B6" s="499"/>
      <c r="C6" s="501"/>
      <c r="D6" s="493"/>
      <c r="E6" s="493"/>
      <c r="F6" s="500"/>
      <c r="G6" s="496"/>
      <c r="H6" s="497"/>
      <c r="I6" s="496"/>
      <c r="J6" s="497"/>
      <c r="K6" s="496"/>
      <c r="L6" s="497"/>
    </row>
    <row r="7" spans="1:12" x14ac:dyDescent="0.25">
      <c r="A7" s="234">
        <v>1</v>
      </c>
      <c r="B7" s="235" t="s">
        <v>254</v>
      </c>
      <c r="C7" s="232">
        <v>86</v>
      </c>
      <c r="D7" s="196">
        <v>104</v>
      </c>
      <c r="E7" s="196">
        <f>ROUND(C7*$F$3,0)</f>
        <v>96</v>
      </c>
      <c r="F7" s="226">
        <f t="shared" ref="F7:F31" si="0">ROUND(D7*$F$3,0)</f>
        <v>116</v>
      </c>
      <c r="G7" s="228">
        <f>'Анализ 2024'!I10</f>
        <v>177.21115208597652</v>
      </c>
      <c r="H7" s="229">
        <f>'Анализ 2024'!J10</f>
        <v>215.77575440668238</v>
      </c>
      <c r="I7" s="228">
        <f>'Анализ 2024'!O10</f>
        <v>133.94875946940155</v>
      </c>
      <c r="J7" s="229">
        <f>'Анализ 2024'!P10</f>
        <v>167.43594933675195</v>
      </c>
      <c r="K7" s="228">
        <f>'Анализ 2024'!Q10</f>
        <v>154.25840928282352</v>
      </c>
      <c r="L7" s="229">
        <f>'Анализ 2024'!R10</f>
        <v>192.82301160352938</v>
      </c>
    </row>
    <row r="8" spans="1:12" x14ac:dyDescent="0.25">
      <c r="A8" s="234">
        <v>2</v>
      </c>
      <c r="B8" s="236" t="s">
        <v>255</v>
      </c>
      <c r="C8" s="232">
        <v>86</v>
      </c>
      <c r="D8" s="196">
        <v>104</v>
      </c>
      <c r="E8" s="196">
        <f t="shared" ref="E8:E31" si="1">ROUND(C8*$F$3,0)</f>
        <v>96</v>
      </c>
      <c r="F8" s="226">
        <f t="shared" si="0"/>
        <v>116</v>
      </c>
      <c r="G8" s="228">
        <f>'Анализ 2024'!I11</f>
        <v>177.21115208597652</v>
      </c>
      <c r="H8" s="229">
        <f>'Анализ 2024'!J11</f>
        <v>215.77575440668238</v>
      </c>
      <c r="I8" s="228">
        <f>'Анализ 2024'!O11</f>
        <v>133.94875946940155</v>
      </c>
      <c r="J8" s="229">
        <f>'Анализ 2024'!P11</f>
        <v>167.43594933675195</v>
      </c>
      <c r="K8" s="228">
        <f>'Анализ 2024'!Q11</f>
        <v>154.25840928282352</v>
      </c>
      <c r="L8" s="229">
        <f>'Анализ 2024'!R11</f>
        <v>192.82301160352938</v>
      </c>
    </row>
    <row r="9" spans="1:12" x14ac:dyDescent="0.25">
      <c r="A9" s="234">
        <v>3</v>
      </c>
      <c r="B9" s="236" t="s">
        <v>256</v>
      </c>
      <c r="C9" s="232">
        <v>81</v>
      </c>
      <c r="D9" s="196">
        <v>99</v>
      </c>
      <c r="E9" s="196">
        <f t="shared" si="1"/>
        <v>90</v>
      </c>
      <c r="F9" s="226">
        <f t="shared" si="0"/>
        <v>110</v>
      </c>
      <c r="G9" s="228">
        <f>'Анализ 2024'!I12</f>
        <v>155.92236284593491</v>
      </c>
      <c r="H9" s="229">
        <f>'Анализ 2024'!J12</f>
        <v>190.20200935322902</v>
      </c>
      <c r="I9" s="228">
        <f>'Анализ 2024'!O12</f>
        <v>119.0655639728014</v>
      </c>
      <c r="J9" s="229">
        <f>'Анализ 2024'!P12</f>
        <v>148.83195496600172</v>
      </c>
      <c r="K9" s="228">
        <f>'Анализ 2024'!Q12</f>
        <v>137.11858602917647</v>
      </c>
      <c r="L9" s="229">
        <f>'Анализ 2024'!R12</f>
        <v>171.39823253647057</v>
      </c>
    </row>
    <row r="10" spans="1:12" x14ac:dyDescent="0.25">
      <c r="A10" s="234">
        <v>4</v>
      </c>
      <c r="B10" s="236" t="s">
        <v>257</v>
      </c>
      <c r="C10" s="232">
        <v>81</v>
      </c>
      <c r="D10" s="196">
        <v>99</v>
      </c>
      <c r="E10" s="196">
        <f t="shared" si="1"/>
        <v>90</v>
      </c>
      <c r="F10" s="226">
        <f t="shared" si="0"/>
        <v>110</v>
      </c>
      <c r="G10" s="228">
        <f>'Анализ 2024'!I13</f>
        <v>155.92236284593491</v>
      </c>
      <c r="H10" s="229">
        <f>'Анализ 2024'!J13</f>
        <v>190.20200935322902</v>
      </c>
      <c r="I10" s="228">
        <f>'Анализ 2024'!O13</f>
        <v>119.06556397280139</v>
      </c>
      <c r="J10" s="229">
        <f>'Анализ 2024'!P13</f>
        <v>148.83195496600172</v>
      </c>
      <c r="K10" s="228">
        <f>'Анализ 2024'!Q13</f>
        <v>137.11858602917647</v>
      </c>
      <c r="L10" s="229">
        <f>'Анализ 2024'!R13</f>
        <v>171.39823253647057</v>
      </c>
    </row>
    <row r="11" spans="1:12" x14ac:dyDescent="0.25">
      <c r="A11" s="234">
        <v>5</v>
      </c>
      <c r="B11" s="236" t="s">
        <v>258</v>
      </c>
      <c r="C11" s="232">
        <v>94</v>
      </c>
      <c r="D11" s="196">
        <v>115</v>
      </c>
      <c r="E11" s="196">
        <f t="shared" si="1"/>
        <v>104</v>
      </c>
      <c r="F11" s="226">
        <f t="shared" si="0"/>
        <v>128</v>
      </c>
      <c r="G11" s="228">
        <f>'Анализ 2024'!I14</f>
        <v>177.21115208597652</v>
      </c>
      <c r="H11" s="229">
        <f>'Анализ 2024'!J14</f>
        <v>215.77575440668238</v>
      </c>
      <c r="I11" s="228">
        <f>'Анализ 2024'!O14</f>
        <v>133.94875946940155</v>
      </c>
      <c r="J11" s="229">
        <f>'Анализ 2024'!P14</f>
        <v>167.43594933675195</v>
      </c>
      <c r="K11" s="228">
        <f>'Анализ 2024'!Q14</f>
        <v>154.25840928282352</v>
      </c>
      <c r="L11" s="229">
        <f>'Анализ 2024'!R14</f>
        <v>192.82301160352938</v>
      </c>
    </row>
    <row r="12" spans="1:12" x14ac:dyDescent="0.25">
      <c r="A12" s="234">
        <v>6</v>
      </c>
      <c r="B12" s="236" t="s">
        <v>259</v>
      </c>
      <c r="C12" s="232">
        <v>81</v>
      </c>
      <c r="D12" s="196">
        <v>99</v>
      </c>
      <c r="E12" s="196">
        <f t="shared" si="1"/>
        <v>90</v>
      </c>
      <c r="F12" s="226">
        <f t="shared" si="0"/>
        <v>110</v>
      </c>
      <c r="G12" s="228">
        <f>'Анализ 2024'!I15</f>
        <v>155.92236284593491</v>
      </c>
      <c r="H12" s="229">
        <f>'Анализ 2024'!J15</f>
        <v>190.20200935322902</v>
      </c>
      <c r="I12" s="228">
        <f>'Анализ 2024'!O15</f>
        <v>119.0655639728014</v>
      </c>
      <c r="J12" s="229">
        <f>'Анализ 2024'!P15</f>
        <v>148.83195496600172</v>
      </c>
      <c r="K12" s="228">
        <f>'Анализ 2024'!Q15</f>
        <v>137.11858602917647</v>
      </c>
      <c r="L12" s="229">
        <f>'Анализ 2024'!R15</f>
        <v>171.39823253647057</v>
      </c>
    </row>
    <row r="13" spans="1:12" x14ac:dyDescent="0.25">
      <c r="A13" s="234">
        <v>7</v>
      </c>
      <c r="B13" s="236" t="s">
        <v>260</v>
      </c>
      <c r="C13" s="232">
        <v>77</v>
      </c>
      <c r="D13" s="196">
        <v>94</v>
      </c>
      <c r="E13" s="196">
        <f t="shared" si="1"/>
        <v>86</v>
      </c>
      <c r="F13" s="226">
        <f t="shared" si="0"/>
        <v>104</v>
      </c>
      <c r="G13" s="228">
        <f>'Анализ 2024'!I16</f>
        <v>140.68696439824865</v>
      </c>
      <c r="H13" s="229">
        <f>'Анализ 2024'!J16</f>
        <v>171.15776129362118</v>
      </c>
      <c r="I13" s="228">
        <f>'Анализ 2024'!O16</f>
        <v>105.83605686471236</v>
      </c>
      <c r="J13" s="229">
        <f>'Анализ 2024'!P16</f>
        <v>132.29507108089044</v>
      </c>
      <c r="K13" s="228">
        <f>'Анализ 2024'!Q16</f>
        <v>121.88318758149019</v>
      </c>
      <c r="L13" s="229">
        <f>'Анализ 2024'!R16</f>
        <v>152.35398447686273</v>
      </c>
    </row>
    <row r="14" spans="1:12" x14ac:dyDescent="0.25">
      <c r="A14" s="234">
        <v>8</v>
      </c>
      <c r="B14" s="236" t="s">
        <v>261</v>
      </c>
      <c r="C14" s="232">
        <v>77</v>
      </c>
      <c r="D14" s="196">
        <v>94</v>
      </c>
      <c r="E14" s="196">
        <f t="shared" si="1"/>
        <v>86</v>
      </c>
      <c r="F14" s="226">
        <f t="shared" si="0"/>
        <v>104</v>
      </c>
      <c r="G14" s="228">
        <f>'Анализ 2024'!I17</f>
        <v>144.83593038464321</v>
      </c>
      <c r="H14" s="229">
        <f>'Анализ 2024'!J17</f>
        <v>175.30672728001574</v>
      </c>
      <c r="I14" s="228">
        <f>'Анализ 2024'!O17</f>
        <v>105.83605686471236</v>
      </c>
      <c r="J14" s="229">
        <f>'Анализ 2024'!P17</f>
        <v>132.29507108089044</v>
      </c>
      <c r="K14" s="228">
        <f>'Анализ 2024'!Q17</f>
        <v>121.88318758149019</v>
      </c>
      <c r="L14" s="229">
        <f>'Анализ 2024'!R17</f>
        <v>152.35398447686273</v>
      </c>
    </row>
    <row r="15" spans="1:12" x14ac:dyDescent="0.25">
      <c r="A15" s="234">
        <v>9</v>
      </c>
      <c r="B15" s="236" t="s">
        <v>262</v>
      </c>
      <c r="C15" s="232">
        <v>73</v>
      </c>
      <c r="D15" s="196">
        <v>90</v>
      </c>
      <c r="E15" s="196">
        <f t="shared" si="1"/>
        <v>81</v>
      </c>
      <c r="F15" s="226">
        <f t="shared" si="0"/>
        <v>100</v>
      </c>
      <c r="G15" s="228">
        <f>'Анализ 2024'!I18</f>
        <v>140.68696439824865</v>
      </c>
      <c r="H15" s="229">
        <f>'Анализ 2024'!J18</f>
        <v>171.15776129362118</v>
      </c>
      <c r="I15" s="228">
        <f>'Анализ 2024'!O18</f>
        <v>105.83605686471236</v>
      </c>
      <c r="J15" s="229">
        <f>'Анализ 2024'!P18</f>
        <v>132.29507108089044</v>
      </c>
      <c r="K15" s="228">
        <f>'Анализ 2024'!Q18</f>
        <v>121.88318758149019</v>
      </c>
      <c r="L15" s="229">
        <f>'Анализ 2024'!R18</f>
        <v>152.35398447686273</v>
      </c>
    </row>
    <row r="16" spans="1:12" ht="14.45" customHeight="1" x14ac:dyDescent="0.25">
      <c r="A16" s="234">
        <v>10</v>
      </c>
      <c r="B16" s="237" t="s">
        <v>91</v>
      </c>
      <c r="C16" s="233">
        <v>90</v>
      </c>
      <c r="D16" s="198">
        <v>109</v>
      </c>
      <c r="E16" s="198">
        <f t="shared" si="1"/>
        <v>100</v>
      </c>
      <c r="F16" s="227">
        <f t="shared" si="0"/>
        <v>121</v>
      </c>
      <c r="G16" s="228">
        <f>'Анализ 2024'!I19</f>
        <v>178.86267966096813</v>
      </c>
      <c r="H16" s="229">
        <f>'Анализ 2024'!J19</f>
        <v>216.9511757801838</v>
      </c>
      <c r="I16" s="228">
        <f>'Анализ 2024'!O19</f>
        <v>132.29507108089044</v>
      </c>
      <c r="J16" s="229">
        <f>'Анализ 2024'!P19</f>
        <v>165.36883885111303</v>
      </c>
      <c r="K16" s="228">
        <f>'Анализ 2024'!Q19</f>
        <v>152.35398447686273</v>
      </c>
      <c r="L16" s="229">
        <f>'Анализ 2024'!R19</f>
        <v>190.44248059607841</v>
      </c>
    </row>
    <row r="17" spans="1:12" x14ac:dyDescent="0.25">
      <c r="A17" s="234">
        <v>11</v>
      </c>
      <c r="B17" s="236" t="s">
        <v>263</v>
      </c>
      <c r="C17" s="232">
        <v>81</v>
      </c>
      <c r="D17" s="196">
        <v>99</v>
      </c>
      <c r="E17" s="196">
        <f t="shared" si="1"/>
        <v>90</v>
      </c>
      <c r="F17" s="226">
        <f t="shared" si="0"/>
        <v>110</v>
      </c>
      <c r="G17" s="228">
        <f>'Анализ 2024'!I20</f>
        <v>155.92236284593491</v>
      </c>
      <c r="H17" s="229">
        <f>'Анализ 2024'!J20</f>
        <v>190.20200935322902</v>
      </c>
      <c r="I17" s="228">
        <f>'Анализ 2024'!O20</f>
        <v>119.0655639728014</v>
      </c>
      <c r="J17" s="229">
        <f>'Анализ 2024'!P20</f>
        <v>148.83195496600172</v>
      </c>
      <c r="K17" s="228">
        <f>'Анализ 2024'!Q20</f>
        <v>137.11858602917647</v>
      </c>
      <c r="L17" s="229">
        <f>'Анализ 2024'!R20</f>
        <v>171.39823253647057</v>
      </c>
    </row>
    <row r="18" spans="1:12" x14ac:dyDescent="0.25">
      <c r="A18" s="234">
        <v>12</v>
      </c>
      <c r="B18" s="236" t="s">
        <v>264</v>
      </c>
      <c r="C18" s="232">
        <v>86</v>
      </c>
      <c r="D18" s="196">
        <v>104</v>
      </c>
      <c r="E18" s="196">
        <f t="shared" si="1"/>
        <v>96</v>
      </c>
      <c r="F18" s="226">
        <f t="shared" si="0"/>
        <v>116</v>
      </c>
      <c r="G18" s="228">
        <f>'Анализ 2024'!I21</f>
        <v>155.92236284593491</v>
      </c>
      <c r="H18" s="229">
        <f>'Анализ 2024'!J21</f>
        <v>190.20200935322902</v>
      </c>
      <c r="I18" s="228">
        <f>'Анализ 2024'!O21</f>
        <v>119.06556397280139</v>
      </c>
      <c r="J18" s="229">
        <f>'Анализ 2024'!P21</f>
        <v>148.83195496600172</v>
      </c>
      <c r="K18" s="228">
        <f>'Анализ 2024'!Q21</f>
        <v>137.11858602917647</v>
      </c>
      <c r="L18" s="229">
        <f>'Анализ 2024'!R21</f>
        <v>171.39823253647057</v>
      </c>
    </row>
    <row r="19" spans="1:12" x14ac:dyDescent="0.25">
      <c r="A19" s="234">
        <v>13</v>
      </c>
      <c r="B19" s="236" t="s">
        <v>265</v>
      </c>
      <c r="C19" s="232">
        <v>73</v>
      </c>
      <c r="D19" s="196">
        <v>90</v>
      </c>
      <c r="E19" s="196">
        <f t="shared" si="1"/>
        <v>81</v>
      </c>
      <c r="F19" s="226">
        <f t="shared" si="0"/>
        <v>100</v>
      </c>
      <c r="G19" s="228">
        <f>'Анализ 2024'!I22</f>
        <v>140.68696439824865</v>
      </c>
      <c r="H19" s="229">
        <f>'Анализ 2024'!J22</f>
        <v>171.15776129362118</v>
      </c>
      <c r="I19" s="228">
        <f>'Анализ 2024'!O22</f>
        <v>105.83605686471236</v>
      </c>
      <c r="J19" s="229">
        <f>'Анализ 2024'!P22</f>
        <v>132.29507108089044</v>
      </c>
      <c r="K19" s="228">
        <f>'Анализ 2024'!Q22</f>
        <v>121.88318758149019</v>
      </c>
      <c r="L19" s="229">
        <f>'Анализ 2024'!R22</f>
        <v>152.35398447686273</v>
      </c>
    </row>
    <row r="20" spans="1:12" x14ac:dyDescent="0.25">
      <c r="A20" s="234">
        <v>14</v>
      </c>
      <c r="B20" s="236" t="s">
        <v>266</v>
      </c>
      <c r="C20" s="232">
        <v>73</v>
      </c>
      <c r="D20" s="196">
        <v>90</v>
      </c>
      <c r="E20" s="196">
        <f t="shared" si="1"/>
        <v>81</v>
      </c>
      <c r="F20" s="226">
        <f t="shared" si="0"/>
        <v>100</v>
      </c>
      <c r="G20" s="228">
        <f>'Анализ 2024'!I23</f>
        <v>140.68696439824865</v>
      </c>
      <c r="H20" s="229">
        <f>'Анализ 2024'!J23</f>
        <v>171.15776129362118</v>
      </c>
      <c r="I20" s="228">
        <f>'Анализ 2024'!O23</f>
        <v>105.83605686471236</v>
      </c>
      <c r="J20" s="229">
        <f>'Анализ 2024'!P23</f>
        <v>132.29507108089044</v>
      </c>
      <c r="K20" s="228">
        <f>'Анализ 2024'!Q23</f>
        <v>121.88318758149019</v>
      </c>
      <c r="L20" s="229">
        <f>'Анализ 2024'!R23</f>
        <v>152.35398447686273</v>
      </c>
    </row>
    <row r="21" spans="1:12" x14ac:dyDescent="0.25">
      <c r="A21" s="234">
        <v>15</v>
      </c>
      <c r="B21" s="236" t="s">
        <v>267</v>
      </c>
      <c r="C21" s="232">
        <v>73</v>
      </c>
      <c r="D21" s="196">
        <v>90</v>
      </c>
      <c r="E21" s="196">
        <f t="shared" si="1"/>
        <v>81</v>
      </c>
      <c r="F21" s="226">
        <f t="shared" si="0"/>
        <v>100</v>
      </c>
      <c r="G21" s="228">
        <f>'Анализ 2024'!I24</f>
        <v>144.83593038464321</v>
      </c>
      <c r="H21" s="229">
        <f>'Анализ 2024'!J24</f>
        <v>175.30672728001574</v>
      </c>
      <c r="I21" s="228">
        <f>'Анализ 2024'!O24</f>
        <v>105.83605686471236</v>
      </c>
      <c r="J21" s="229">
        <f>'Анализ 2024'!P24</f>
        <v>132.29507108089044</v>
      </c>
      <c r="K21" s="228">
        <f>'Анализ 2024'!Q24</f>
        <v>121.88318758149019</v>
      </c>
      <c r="L21" s="229">
        <f>'Анализ 2024'!R24</f>
        <v>152.35398447686273</v>
      </c>
    </row>
    <row r="22" spans="1:12" x14ac:dyDescent="0.25">
      <c r="A22" s="234">
        <v>16</v>
      </c>
      <c r="B22" s="236" t="s">
        <v>268</v>
      </c>
      <c r="C22" s="232">
        <v>77</v>
      </c>
      <c r="D22" s="196">
        <v>94</v>
      </c>
      <c r="E22" s="196">
        <f t="shared" si="1"/>
        <v>86</v>
      </c>
      <c r="F22" s="226">
        <f t="shared" si="0"/>
        <v>104</v>
      </c>
      <c r="G22" s="228">
        <f>'Анализ 2024'!I25</f>
        <v>144.83593038464321</v>
      </c>
      <c r="H22" s="229">
        <f>'Анализ 2024'!J25</f>
        <v>175.30672728001574</v>
      </c>
      <c r="I22" s="228">
        <f>'Анализ 2024'!O25</f>
        <v>105.83605686471236</v>
      </c>
      <c r="J22" s="229">
        <f>'Анализ 2024'!P25</f>
        <v>132.29507108089044</v>
      </c>
      <c r="K22" s="228">
        <f>'Анализ 2024'!Q25</f>
        <v>121.88318758149019</v>
      </c>
      <c r="L22" s="229">
        <f>'Анализ 2024'!R25</f>
        <v>152.35398447686273</v>
      </c>
    </row>
    <row r="23" spans="1:12" x14ac:dyDescent="0.25">
      <c r="A23" s="234">
        <v>17</v>
      </c>
      <c r="B23" s="236" t="s">
        <v>269</v>
      </c>
      <c r="C23" s="232">
        <v>77</v>
      </c>
      <c r="D23" s="196">
        <v>94</v>
      </c>
      <c r="E23" s="196">
        <f t="shared" si="1"/>
        <v>86</v>
      </c>
      <c r="F23" s="226">
        <f t="shared" si="0"/>
        <v>104</v>
      </c>
      <c r="G23" s="228">
        <f>'Анализ 2024'!I26</f>
        <v>144.83593038464321</v>
      </c>
      <c r="H23" s="229">
        <f>'Анализ 2024'!J26</f>
        <v>175.30672728001574</v>
      </c>
      <c r="I23" s="228">
        <f>'Анализ 2024'!O26</f>
        <v>105.83605686471236</v>
      </c>
      <c r="J23" s="229">
        <f>'Анализ 2024'!P26</f>
        <v>132.29507108089044</v>
      </c>
      <c r="K23" s="228">
        <f>'Анализ 2024'!Q26</f>
        <v>121.88318758149019</v>
      </c>
      <c r="L23" s="229">
        <f>'Анализ 2024'!R26</f>
        <v>152.35398447686273</v>
      </c>
    </row>
    <row r="24" spans="1:12" x14ac:dyDescent="0.25">
      <c r="A24" s="234">
        <v>18</v>
      </c>
      <c r="B24" s="236" t="s">
        <v>272</v>
      </c>
      <c r="C24" s="232">
        <v>77</v>
      </c>
      <c r="D24" s="196">
        <v>94</v>
      </c>
      <c r="E24" s="196">
        <f t="shared" si="1"/>
        <v>86</v>
      </c>
      <c r="F24" s="226">
        <f t="shared" si="0"/>
        <v>104</v>
      </c>
      <c r="G24" s="228">
        <f>'Анализ 2024'!I27</f>
        <v>144.83593038464321</v>
      </c>
      <c r="H24" s="229">
        <f>'Анализ 2024'!J27</f>
        <v>175.30672728001574</v>
      </c>
      <c r="I24" s="228">
        <f>'Анализ 2024'!O27</f>
        <v>105.83605686471236</v>
      </c>
      <c r="J24" s="229">
        <f>'Анализ 2024'!P27</f>
        <v>132.29507108089044</v>
      </c>
      <c r="K24" s="228">
        <f>'Анализ 2024'!Q27</f>
        <v>121.88318758149019</v>
      </c>
      <c r="L24" s="229">
        <f>'Анализ 2024'!R27</f>
        <v>152.35398447686273</v>
      </c>
    </row>
    <row r="25" spans="1:12" x14ac:dyDescent="0.25">
      <c r="A25" s="234">
        <v>19</v>
      </c>
      <c r="B25" s="236" t="s">
        <v>270</v>
      </c>
      <c r="C25" s="232">
        <v>73</v>
      </c>
      <c r="D25" s="196">
        <v>90</v>
      </c>
      <c r="E25" s="196">
        <f t="shared" si="1"/>
        <v>81</v>
      </c>
      <c r="F25" s="226">
        <f t="shared" si="0"/>
        <v>100</v>
      </c>
      <c r="G25" s="228">
        <f>'Анализ 2024'!I28</f>
        <v>140.68696439824865</v>
      </c>
      <c r="H25" s="229">
        <f>'Анализ 2024'!J28</f>
        <v>171.15776129362118</v>
      </c>
      <c r="I25" s="228">
        <f>'Анализ 2024'!O28</f>
        <v>105.83605686471236</v>
      </c>
      <c r="J25" s="229">
        <f>'Анализ 2024'!P28</f>
        <v>132.29507108089044</v>
      </c>
      <c r="K25" s="228">
        <f>'Анализ 2024'!Q28</f>
        <v>121.88318758149019</v>
      </c>
      <c r="L25" s="229">
        <f>'Анализ 2024'!R28</f>
        <v>152.35398447686273</v>
      </c>
    </row>
    <row r="26" spans="1:12" x14ac:dyDescent="0.25">
      <c r="A26" s="234">
        <v>20</v>
      </c>
      <c r="B26" s="236" t="s">
        <v>271</v>
      </c>
      <c r="C26" s="232">
        <v>73</v>
      </c>
      <c r="D26" s="196">
        <v>90</v>
      </c>
      <c r="E26" s="196">
        <f t="shared" si="1"/>
        <v>81</v>
      </c>
      <c r="F26" s="226">
        <f t="shared" si="0"/>
        <v>100</v>
      </c>
      <c r="G26" s="228">
        <f>'Анализ 2024'!I29</f>
        <v>140.68696439824865</v>
      </c>
      <c r="H26" s="229">
        <f>'Анализ 2024'!J29</f>
        <v>171.15776129362118</v>
      </c>
      <c r="I26" s="228">
        <f>'Анализ 2024'!O29</f>
        <v>105.83605686471236</v>
      </c>
      <c r="J26" s="229">
        <f>'Анализ 2024'!P29</f>
        <v>132.29507108089044</v>
      </c>
      <c r="K26" s="228">
        <f>'Анализ 2024'!Q29</f>
        <v>121.88318758149019</v>
      </c>
      <c r="L26" s="229">
        <f>'Анализ 2024'!R29</f>
        <v>152.35398447686273</v>
      </c>
    </row>
    <row r="27" spans="1:12" x14ac:dyDescent="0.25">
      <c r="A27" s="234">
        <v>21</v>
      </c>
      <c r="B27" s="238" t="s">
        <v>83</v>
      </c>
      <c r="C27" s="232">
        <v>73</v>
      </c>
      <c r="D27" s="196">
        <v>90</v>
      </c>
      <c r="E27" s="196">
        <f t="shared" si="1"/>
        <v>81</v>
      </c>
      <c r="F27" s="226">
        <f t="shared" si="0"/>
        <v>100</v>
      </c>
      <c r="G27" s="228">
        <f>'Анализ 2024'!I30</f>
        <v>140.68696439824865</v>
      </c>
      <c r="H27" s="229">
        <f>'Анализ 2024'!J30</f>
        <v>171.15776129362118</v>
      </c>
      <c r="I27" s="228">
        <f>'Анализ 2024'!O30</f>
        <v>105.83605686471236</v>
      </c>
      <c r="J27" s="229">
        <f>'Анализ 2024'!P30</f>
        <v>132.29507108089044</v>
      </c>
      <c r="K27" s="228">
        <f>'Анализ 2024'!Q30</f>
        <v>121.88318758149019</v>
      </c>
      <c r="L27" s="229">
        <f>'Анализ 2024'!R30</f>
        <v>152.35398447686273</v>
      </c>
    </row>
    <row r="28" spans="1:12" x14ac:dyDescent="0.25">
      <c r="A28" s="234">
        <v>22</v>
      </c>
      <c r="B28" s="238" t="s">
        <v>84</v>
      </c>
      <c r="C28" s="232">
        <v>73</v>
      </c>
      <c r="D28" s="196">
        <v>90</v>
      </c>
      <c r="E28" s="196">
        <f t="shared" si="1"/>
        <v>81</v>
      </c>
      <c r="F28" s="226">
        <f t="shared" si="0"/>
        <v>100</v>
      </c>
      <c r="G28" s="228">
        <f>'Анализ 2024'!I31</f>
        <v>140.68696439824865</v>
      </c>
      <c r="H28" s="229">
        <f>'Анализ 2024'!J31</f>
        <v>171.15776129362118</v>
      </c>
      <c r="I28" s="228">
        <f>'Анализ 2024'!O31</f>
        <v>105.83605686471236</v>
      </c>
      <c r="J28" s="229">
        <f>'Анализ 2024'!P31</f>
        <v>132.29507108089044</v>
      </c>
      <c r="K28" s="228">
        <f>'Анализ 2024'!Q31</f>
        <v>121.88318758149019</v>
      </c>
      <c r="L28" s="229">
        <f>'Анализ 2024'!R31</f>
        <v>152.35398447686273</v>
      </c>
    </row>
    <row r="29" spans="1:12" x14ac:dyDescent="0.25">
      <c r="A29" s="234">
        <v>23</v>
      </c>
      <c r="B29" s="238" t="s">
        <v>85</v>
      </c>
      <c r="C29" s="232">
        <v>73</v>
      </c>
      <c r="D29" s="196">
        <v>90</v>
      </c>
      <c r="E29" s="196">
        <f t="shared" si="1"/>
        <v>81</v>
      </c>
      <c r="F29" s="226">
        <f t="shared" si="0"/>
        <v>100</v>
      </c>
      <c r="G29" s="228">
        <f>'Анализ 2024'!I32</f>
        <v>140.68696439824865</v>
      </c>
      <c r="H29" s="229">
        <f>'Анализ 2024'!J32</f>
        <v>171.15776129362118</v>
      </c>
      <c r="I29" s="228">
        <f>'Анализ 2024'!O32</f>
        <v>105.83605686471236</v>
      </c>
      <c r="J29" s="229">
        <f>'Анализ 2024'!P32</f>
        <v>132.29507108089044</v>
      </c>
      <c r="K29" s="228">
        <f>'Анализ 2024'!Q32</f>
        <v>121.88318758149019</v>
      </c>
      <c r="L29" s="229">
        <f>'Анализ 2024'!R32</f>
        <v>152.35398447686273</v>
      </c>
    </row>
    <row r="30" spans="1:12" x14ac:dyDescent="0.25">
      <c r="A30" s="234">
        <v>24</v>
      </c>
      <c r="B30" s="238" t="s">
        <v>86</v>
      </c>
      <c r="C30" s="232">
        <v>73</v>
      </c>
      <c r="D30" s="196">
        <v>90</v>
      </c>
      <c r="E30" s="196">
        <f t="shared" si="1"/>
        <v>81</v>
      </c>
      <c r="F30" s="226">
        <f t="shared" si="0"/>
        <v>100</v>
      </c>
      <c r="G30" s="228">
        <f>'Анализ 2024'!I33</f>
        <v>140.68696439824865</v>
      </c>
      <c r="H30" s="229">
        <f>'Анализ 2024'!J33</f>
        <v>171.15776129362118</v>
      </c>
      <c r="I30" s="228">
        <f>'Анализ 2024'!O33</f>
        <v>105.83605686471236</v>
      </c>
      <c r="J30" s="229">
        <f>'Анализ 2024'!P33</f>
        <v>132.29507108089044</v>
      </c>
      <c r="K30" s="228">
        <f>'Анализ 2024'!Q33</f>
        <v>121.88318758149019</v>
      </c>
      <c r="L30" s="229">
        <f>'Анализ 2024'!R33</f>
        <v>152.35398447686273</v>
      </c>
    </row>
    <row r="31" spans="1:12" ht="15.75" thickBot="1" x14ac:dyDescent="0.3">
      <c r="A31" s="239">
        <v>25</v>
      </c>
      <c r="B31" s="240" t="s">
        <v>87</v>
      </c>
      <c r="C31" s="232">
        <v>73</v>
      </c>
      <c r="D31" s="196">
        <v>90</v>
      </c>
      <c r="E31" s="196">
        <f t="shared" si="1"/>
        <v>81</v>
      </c>
      <c r="F31" s="226">
        <f t="shared" si="0"/>
        <v>100</v>
      </c>
      <c r="G31" s="230">
        <f>'Анализ 2024'!I34</f>
        <v>140.68696439824865</v>
      </c>
      <c r="H31" s="231">
        <f>'Анализ 2024'!J34</f>
        <v>171.15776129362118</v>
      </c>
      <c r="I31" s="230">
        <f>'Анализ 2024'!O34</f>
        <v>105.83605686471236</v>
      </c>
      <c r="J31" s="231">
        <f>'Анализ 2024'!P34</f>
        <v>132.29507108089044</v>
      </c>
      <c r="K31" s="230">
        <f>'Анализ 2024'!Q34</f>
        <v>121.88318758149019</v>
      </c>
      <c r="L31" s="231">
        <f>'Анализ 2024'!R34</f>
        <v>152.35398447686273</v>
      </c>
    </row>
    <row r="32" spans="1:12" ht="17.25" customHeight="1" thickBot="1" x14ac:dyDescent="0.3">
      <c r="A32" s="243" t="s">
        <v>246</v>
      </c>
      <c r="B32" s="224"/>
      <c r="C32" s="215"/>
      <c r="D32" s="215"/>
      <c r="E32" s="215"/>
      <c r="F32" s="215"/>
      <c r="G32" s="225"/>
      <c r="H32" s="225"/>
      <c r="I32" s="225"/>
      <c r="J32" s="225"/>
      <c r="K32" s="225"/>
      <c r="L32" s="225"/>
    </row>
    <row r="33" spans="1:12" ht="29.25" customHeight="1" x14ac:dyDescent="0.25">
      <c r="A33" s="244">
        <v>1</v>
      </c>
      <c r="B33" s="245" t="s">
        <v>228</v>
      </c>
      <c r="C33" s="242"/>
      <c r="D33" s="200"/>
      <c r="E33" s="200"/>
      <c r="F33" s="241"/>
      <c r="G33" s="250">
        <f>'Анализ 2024'!I37</f>
        <v>43.946847851166631</v>
      </c>
      <c r="H33" s="251">
        <f>'Анализ 2024'!J37</f>
        <v>53.088086919778391</v>
      </c>
      <c r="I33" s="250">
        <f>'Анализ 2024'!O37</f>
        <v>32</v>
      </c>
      <c r="J33" s="251">
        <f>'Анализ 2024'!P37</f>
        <v>40</v>
      </c>
      <c r="K33" s="250">
        <f>'Анализ 2024'!Q37</f>
        <v>36.564956274447056</v>
      </c>
      <c r="L33" s="251">
        <f>'Анализ 2024'!R37</f>
        <v>45.706195343058816</v>
      </c>
    </row>
    <row r="34" spans="1:12" ht="30" x14ac:dyDescent="0.25">
      <c r="A34" s="246">
        <v>2</v>
      </c>
      <c r="B34" s="247" t="s">
        <v>247</v>
      </c>
      <c r="C34" s="242"/>
      <c r="D34" s="200"/>
      <c r="E34" s="200"/>
      <c r="F34" s="241"/>
      <c r="G34" s="228">
        <f>'Анализ 2024'!I38</f>
        <v>14.999590800562714</v>
      </c>
      <c r="H34" s="229">
        <f>'Анализ 2024'!J38</f>
        <v>16.904015606523497</v>
      </c>
      <c r="I34" s="228">
        <f>'Анализ 2024'!O38</f>
        <v>7</v>
      </c>
      <c r="J34" s="229">
        <f>'Анализ 2024'!P38</f>
        <v>8</v>
      </c>
      <c r="K34" s="228">
        <f>'Анализ 2024'!Q38</f>
        <v>7.6176992238431369</v>
      </c>
      <c r="L34" s="229">
        <f>'Анализ 2024'!R38</f>
        <v>9.5221240298039209</v>
      </c>
    </row>
    <row r="35" spans="1:12" ht="30" x14ac:dyDescent="0.25">
      <c r="A35" s="246">
        <v>3</v>
      </c>
      <c r="B35" s="247" t="s">
        <v>248</v>
      </c>
      <c r="C35" s="242"/>
      <c r="D35" s="200"/>
      <c r="E35" s="200"/>
      <c r="F35" s="241"/>
      <c r="G35" s="228">
        <f>'Анализ 2024'!I39</f>
        <v>60.705786143621523</v>
      </c>
      <c r="H35" s="229">
        <f>'Анализ 2024'!J39</f>
        <v>74.036759785347016</v>
      </c>
      <c r="I35" s="228">
        <f>'Анализ 2024'!O39</f>
        <v>46</v>
      </c>
      <c r="J35" s="229">
        <f>'Анализ 2024'!P39</f>
        <v>58</v>
      </c>
      <c r="K35" s="228">
        <f>'Анализ 2024'!Q39</f>
        <v>53.323894566901949</v>
      </c>
      <c r="L35" s="229">
        <f>'Анализ 2024'!R39</f>
        <v>66.654868208627434</v>
      </c>
    </row>
    <row r="36" spans="1:12" ht="30" x14ac:dyDescent="0.25">
      <c r="A36" s="246">
        <v>4</v>
      </c>
      <c r="B36" s="247" t="s">
        <v>249</v>
      </c>
      <c r="C36" s="242"/>
      <c r="D36" s="200"/>
      <c r="E36" s="200"/>
      <c r="F36" s="241"/>
      <c r="G36" s="228">
        <f>'Анализ 2024'!I40</f>
        <v>25.664369713943103</v>
      </c>
      <c r="H36" s="229">
        <f>'Анализ 2024'!J40</f>
        <v>30.234989248248986</v>
      </c>
      <c r="I36" s="228">
        <f>'Анализ 2024'!O40</f>
        <v>16.2836</v>
      </c>
      <c r="J36" s="229">
        <f>'Анализ 2024'!P40</f>
        <v>20</v>
      </c>
      <c r="K36" s="228">
        <f>'Анализ 2024'!Q40</f>
        <v>18.282478137223528</v>
      </c>
      <c r="L36" s="229">
        <f>'Анализ 2024'!R40</f>
        <v>22.853097671529408</v>
      </c>
    </row>
    <row r="37" spans="1:12" ht="30" x14ac:dyDescent="0.25">
      <c r="A37" s="246">
        <v>5</v>
      </c>
      <c r="B37" s="247" t="s">
        <v>250</v>
      </c>
      <c r="C37" s="242"/>
      <c r="D37" s="200"/>
      <c r="E37" s="200"/>
      <c r="F37" s="241"/>
      <c r="G37" s="228">
        <f>'Анализ 2024'!I41</f>
        <v>48.517467385472507</v>
      </c>
      <c r="H37" s="229">
        <f>'Анализ 2024'!J41</f>
        <v>58.801361337660737</v>
      </c>
      <c r="I37" s="228">
        <f>'Анализ 2024'!O41</f>
        <v>36</v>
      </c>
      <c r="J37" s="229">
        <f>'Анализ 2024'!P41</f>
        <v>45</v>
      </c>
      <c r="K37" s="228">
        <f>'Анализ 2024'!Q41</f>
        <v>41.135575808752932</v>
      </c>
      <c r="L37" s="229">
        <f>'Анализ 2024'!R41</f>
        <v>51.419469760941162</v>
      </c>
    </row>
    <row r="38" spans="1:12" ht="30" x14ac:dyDescent="0.25">
      <c r="A38" s="246">
        <v>6</v>
      </c>
      <c r="B38" s="247" t="s">
        <v>251</v>
      </c>
      <c r="C38" s="242"/>
      <c r="D38" s="200"/>
      <c r="E38" s="200"/>
      <c r="F38" s="241"/>
      <c r="G38" s="228">
        <f>'Анализ 2024'!I42</f>
        <v>15.951803203543106</v>
      </c>
      <c r="H38" s="229">
        <f>'Анализ 2024'!J42</f>
        <v>18.094281110248986</v>
      </c>
      <c r="I38" s="228">
        <f>'Анализ 2024'!O42</f>
        <v>7</v>
      </c>
      <c r="J38" s="229">
        <f>'Анализ 2024'!P42</f>
        <v>9</v>
      </c>
      <c r="K38" s="228">
        <f>'Анализ 2024'!Q42</f>
        <v>8.5699116268235294</v>
      </c>
      <c r="L38" s="229">
        <f>'Анализ 2024'!R42</f>
        <v>10.712389533529411</v>
      </c>
    </row>
    <row r="39" spans="1:12" ht="30" x14ac:dyDescent="0.25">
      <c r="A39" s="246">
        <v>7</v>
      </c>
      <c r="B39" s="247" t="s">
        <v>252</v>
      </c>
      <c r="C39" s="242"/>
      <c r="D39" s="200"/>
      <c r="E39" s="200"/>
      <c r="F39" s="241"/>
      <c r="G39" s="228">
        <f>'Анализ 2024'!I43</f>
        <v>67.371272964484277</v>
      </c>
      <c r="H39" s="229">
        <f>'Анализ 2024'!J43</f>
        <v>82.36861831142545</v>
      </c>
      <c r="I39" s="228">
        <f>'Анализ 2024'!O43</f>
        <v>52</v>
      </c>
      <c r="J39" s="229">
        <f>'Анализ 2024'!P43</f>
        <v>65</v>
      </c>
      <c r="K39" s="228">
        <f>'Анализ 2024'!Q43</f>
        <v>59.989381387764695</v>
      </c>
      <c r="L39" s="229">
        <f>'Анализ 2024'!R43</f>
        <v>74.986726734705869</v>
      </c>
    </row>
    <row r="40" spans="1:12" ht="30.75" thickBot="1" x14ac:dyDescent="0.3">
      <c r="A40" s="248">
        <v>8</v>
      </c>
      <c r="B40" s="249" t="s">
        <v>253</v>
      </c>
      <c r="C40" s="242"/>
      <c r="D40" s="200"/>
      <c r="E40" s="200"/>
      <c r="F40" s="241"/>
      <c r="G40" s="230">
        <f>'Анализ 2024'!I44</f>
        <v>27.949679481096041</v>
      </c>
      <c r="H40" s="231">
        <f>'Анализ 2024'!J44</f>
        <v>33.091626457190159</v>
      </c>
      <c r="I40" s="230">
        <f>'Анализ 2024'!O44</f>
        <v>17.742800000000003</v>
      </c>
      <c r="J40" s="231">
        <f>'Анализ 2024'!P44</f>
        <v>22</v>
      </c>
      <c r="K40" s="230">
        <f>'Анализ 2024'!Q44</f>
        <v>20.567787904376466</v>
      </c>
      <c r="L40" s="231">
        <f>'Анализ 2024'!R44</f>
        <v>25.709734880470581</v>
      </c>
    </row>
  </sheetData>
  <mergeCells count="17">
    <mergeCell ref="A4:A6"/>
    <mergeCell ref="K4:L4"/>
    <mergeCell ref="K5:K6"/>
    <mergeCell ref="L5:L6"/>
    <mergeCell ref="B4:B6"/>
    <mergeCell ref="E4:F4"/>
    <mergeCell ref="E5:E6"/>
    <mergeCell ref="F5:F6"/>
    <mergeCell ref="C5:C6"/>
    <mergeCell ref="D5:D6"/>
    <mergeCell ref="C4:D4"/>
    <mergeCell ref="G4:H4"/>
    <mergeCell ref="G5:G6"/>
    <mergeCell ref="H5:H6"/>
    <mergeCell ref="I4:J4"/>
    <mergeCell ref="I5:I6"/>
    <mergeCell ref="J5:J6"/>
  </mergeCells>
  <conditionalFormatting sqref="B7:B8">
    <cfRule type="cellIs" dxfId="8" priority="8" stopIfTrue="1" operator="equal">
      <formula>"ИТОГО"</formula>
    </cfRule>
  </conditionalFormatting>
  <conditionalFormatting sqref="B9">
    <cfRule type="cellIs" dxfId="7" priority="7" stopIfTrue="1" operator="equal">
      <formula>"ИТОГО"</formula>
    </cfRule>
  </conditionalFormatting>
  <conditionalFormatting sqref="B10">
    <cfRule type="cellIs" dxfId="6" priority="6" stopIfTrue="1" operator="equal">
      <formula>"ИТОГО"</formula>
    </cfRule>
  </conditionalFormatting>
  <conditionalFormatting sqref="B11">
    <cfRule type="cellIs" dxfId="5" priority="5" stopIfTrue="1" operator="equal">
      <formula>"ИТОГО"</formula>
    </cfRule>
  </conditionalFormatting>
  <conditionalFormatting sqref="B12">
    <cfRule type="cellIs" dxfId="4" priority="4" stopIfTrue="1" operator="equal">
      <formula>"ИТОГО"</formula>
    </cfRule>
  </conditionalFormatting>
  <conditionalFormatting sqref="B13:B15">
    <cfRule type="cellIs" dxfId="3" priority="3" stopIfTrue="1" operator="equal">
      <formula>"ИТОГО"</formula>
    </cfRule>
  </conditionalFormatting>
  <conditionalFormatting sqref="B17:B19">
    <cfRule type="cellIs" dxfId="2" priority="2" stopIfTrue="1" operator="equal">
      <formula>"ИТОГО"</formula>
    </cfRule>
  </conditionalFormatting>
  <conditionalFormatting sqref="B20:B26">
    <cfRule type="cellIs" dxfId="1" priority="1" stopIfTrue="1" operator="equal">
      <formula>"ИТОГО"</formula>
    </cfRule>
  </conditionalFormatting>
  <pageMargins left="0.70866141732283472" right="0.70866141732283472" top="0.35433070866141736" bottom="0.35433070866141736" header="0.31496062992125984" footer="0.31496062992125984"/>
  <pageSetup paperSize="9" scale="6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5"/>
  <sheetViews>
    <sheetView tabSelected="1" view="pageBreakPreview" topLeftCell="A4" zoomScale="70" zoomScaleNormal="100" zoomScaleSheetLayoutView="70" zoomScalePageLayoutView="40" workbookViewId="0">
      <pane xSplit="2" ySplit="6" topLeftCell="C10" activePane="bottomRight" state="frozen"/>
      <selection activeCell="A4" sqref="A4"/>
      <selection pane="topRight" activeCell="C4" sqref="C4"/>
      <selection pane="bottomLeft" activeCell="A10" sqref="A10"/>
      <selection pane="bottomRight" activeCell="AW27" sqref="AW27"/>
    </sheetView>
  </sheetViews>
  <sheetFormatPr defaultRowHeight="15" x14ac:dyDescent="0.25"/>
  <cols>
    <col min="2" max="2" width="43.7109375" customWidth="1"/>
    <col min="3" max="4" width="12.85546875" hidden="1" customWidth="1"/>
    <col min="5" max="5" width="14.42578125" hidden="1" customWidth="1"/>
    <col min="6" max="8" width="12.42578125" hidden="1" customWidth="1"/>
    <col min="9" max="10" width="12.42578125" customWidth="1"/>
    <col min="11" max="17" width="12.42578125" hidden="1" customWidth="1"/>
    <col min="18" max="18" width="10.140625" hidden="1" customWidth="1"/>
    <col min="19" max="20" width="9.5703125" hidden="1" customWidth="1"/>
    <col min="21" max="21" width="10.7109375" hidden="1" customWidth="1"/>
    <col min="22" max="22" width="8.85546875" hidden="1" customWidth="1"/>
    <col min="23" max="28" width="11.5703125" hidden="1" customWidth="1"/>
    <col min="29" max="29" width="12.42578125" hidden="1" customWidth="1"/>
    <col min="30" max="30" width="10.140625" hidden="1" customWidth="1"/>
    <col min="31" max="32" width="9.5703125" hidden="1" customWidth="1"/>
    <col min="33" max="33" width="9.140625" hidden="1" customWidth="1"/>
    <col min="34" max="34" width="8.85546875" hidden="1" customWidth="1"/>
    <col min="35" max="35" width="9.140625" hidden="1" customWidth="1"/>
    <col min="36" max="38" width="0" hidden="1" customWidth="1"/>
  </cols>
  <sheetData>
    <row r="1" spans="1:35" ht="15" hidden="1" customHeight="1" x14ac:dyDescent="0.25">
      <c r="B1" t="s">
        <v>206</v>
      </c>
    </row>
    <row r="2" spans="1:35" ht="15" hidden="1" customHeight="1" x14ac:dyDescent="0.25"/>
    <row r="3" spans="1:35" ht="15" hidden="1" customHeight="1" x14ac:dyDescent="0.25"/>
    <row r="4" spans="1:35" ht="18.75" x14ac:dyDescent="0.3">
      <c r="AE4" s="513" t="s">
        <v>279</v>
      </c>
      <c r="AF4" s="514"/>
      <c r="AG4" s="514"/>
      <c r="AH4" s="514"/>
    </row>
    <row r="5" spans="1:35" x14ac:dyDescent="0.25">
      <c r="A5" s="153" t="s">
        <v>207</v>
      </c>
      <c r="AE5" s="219"/>
      <c r="AF5" s="219"/>
      <c r="AG5" s="219"/>
      <c r="AH5" s="219"/>
    </row>
    <row r="6" spans="1:35" ht="15" customHeight="1" x14ac:dyDescent="0.25">
      <c r="F6">
        <v>1.111</v>
      </c>
    </row>
    <row r="7" spans="1:35" ht="115.5" customHeight="1" x14ac:dyDescent="0.25">
      <c r="A7" s="489" t="s">
        <v>137</v>
      </c>
      <c r="B7" s="492" t="s">
        <v>273</v>
      </c>
      <c r="C7" s="493" t="s">
        <v>103</v>
      </c>
      <c r="D7" s="493"/>
      <c r="E7" s="493" t="s">
        <v>205</v>
      </c>
      <c r="F7" s="493"/>
      <c r="G7" s="500"/>
      <c r="H7" s="501"/>
      <c r="I7" s="500" t="s">
        <v>293</v>
      </c>
      <c r="J7" s="501"/>
      <c r="K7" s="500" t="s">
        <v>294</v>
      </c>
      <c r="L7" s="501"/>
      <c r="M7" s="500" t="s">
        <v>301</v>
      </c>
      <c r="N7" s="501"/>
      <c r="O7" s="500" t="s">
        <v>303</v>
      </c>
      <c r="P7" s="501"/>
      <c r="Q7" s="500" t="s">
        <v>302</v>
      </c>
      <c r="R7" s="501"/>
      <c r="S7" s="484" t="s">
        <v>294</v>
      </c>
      <c r="T7" s="486"/>
      <c r="U7" s="484" t="s">
        <v>301</v>
      </c>
      <c r="V7" s="486"/>
      <c r="W7" s="500" t="s">
        <v>312</v>
      </c>
      <c r="X7" s="501"/>
      <c r="Y7" s="500" t="s">
        <v>304</v>
      </c>
      <c r="Z7" s="501"/>
      <c r="AA7" s="484" t="s">
        <v>308</v>
      </c>
      <c r="AB7" s="486"/>
      <c r="AC7" s="500" t="s">
        <v>305</v>
      </c>
      <c r="AD7" s="501"/>
      <c r="AE7" s="484" t="s">
        <v>306</v>
      </c>
      <c r="AF7" s="486"/>
      <c r="AG7" s="484" t="s">
        <v>301</v>
      </c>
      <c r="AH7" s="486"/>
    </row>
    <row r="8" spans="1:35" ht="15" customHeight="1" x14ac:dyDescent="0.25">
      <c r="A8" s="490"/>
      <c r="B8" s="492"/>
      <c r="C8" s="493" t="s">
        <v>88</v>
      </c>
      <c r="D8" s="493" t="s">
        <v>89</v>
      </c>
      <c r="E8" s="493" t="s">
        <v>88</v>
      </c>
      <c r="F8" s="493" t="s">
        <v>89</v>
      </c>
      <c r="G8" s="509" t="s">
        <v>88</v>
      </c>
      <c r="H8" s="509" t="s">
        <v>89</v>
      </c>
      <c r="I8" s="509" t="s">
        <v>88</v>
      </c>
      <c r="J8" s="509" t="s">
        <v>89</v>
      </c>
      <c r="K8" s="509" t="s">
        <v>88</v>
      </c>
      <c r="L8" s="509" t="s">
        <v>89</v>
      </c>
      <c r="M8" s="509" t="s">
        <v>88</v>
      </c>
      <c r="N8" s="509" t="s">
        <v>89</v>
      </c>
      <c r="O8" s="509" t="s">
        <v>88</v>
      </c>
      <c r="P8" s="509" t="s">
        <v>89</v>
      </c>
      <c r="Q8" s="509" t="s">
        <v>88</v>
      </c>
      <c r="R8" s="509" t="s">
        <v>89</v>
      </c>
      <c r="S8" s="509" t="s">
        <v>88</v>
      </c>
      <c r="T8" s="509" t="s">
        <v>89</v>
      </c>
      <c r="U8" s="509" t="s">
        <v>88</v>
      </c>
      <c r="V8" s="509" t="s">
        <v>89</v>
      </c>
      <c r="W8" s="509" t="s">
        <v>88</v>
      </c>
      <c r="X8" s="509" t="s">
        <v>89</v>
      </c>
      <c r="Y8" s="509" t="s">
        <v>88</v>
      </c>
      <c r="Z8" s="509" t="s">
        <v>89</v>
      </c>
      <c r="AA8" s="509" t="s">
        <v>311</v>
      </c>
      <c r="AB8" s="509" t="s">
        <v>307</v>
      </c>
      <c r="AC8" s="509" t="s">
        <v>88</v>
      </c>
      <c r="AD8" s="509" t="s">
        <v>89</v>
      </c>
      <c r="AE8" s="509" t="s">
        <v>88</v>
      </c>
      <c r="AF8" s="509" t="s">
        <v>89</v>
      </c>
      <c r="AG8" s="509" t="s">
        <v>88</v>
      </c>
      <c r="AH8" s="509" t="s">
        <v>89</v>
      </c>
    </row>
    <row r="9" spans="1:35" x14ac:dyDescent="0.25">
      <c r="A9" s="491"/>
      <c r="B9" s="492"/>
      <c r="C9" s="493"/>
      <c r="D9" s="493"/>
      <c r="E9" s="493"/>
      <c r="F9" s="493"/>
      <c r="G9" s="510"/>
      <c r="H9" s="510"/>
      <c r="I9" s="510"/>
      <c r="J9" s="510"/>
      <c r="K9" s="510"/>
      <c r="L9" s="510"/>
      <c r="M9" s="510"/>
      <c r="N9" s="510"/>
      <c r="O9" s="510"/>
      <c r="P9" s="510"/>
      <c r="Q9" s="510"/>
      <c r="R9" s="510"/>
      <c r="S9" s="510"/>
      <c r="T9" s="510"/>
      <c r="U9" s="510"/>
      <c r="V9" s="510"/>
      <c r="W9" s="510"/>
      <c r="X9" s="510"/>
      <c r="Y9" s="510"/>
      <c r="Z9" s="510"/>
      <c r="AA9" s="510"/>
      <c r="AB9" s="510"/>
      <c r="AC9" s="510"/>
      <c r="AD9" s="510"/>
      <c r="AE9" s="510"/>
      <c r="AF9" s="510"/>
      <c r="AG9" s="510"/>
      <c r="AH9" s="510"/>
    </row>
    <row r="10" spans="1:35" ht="15.6" customHeight="1" x14ac:dyDescent="0.25">
      <c r="A10" s="196">
        <v>1</v>
      </c>
      <c r="B10" s="344" t="s">
        <v>254</v>
      </c>
      <c r="C10" s="330">
        <v>156.17217948350586</v>
      </c>
      <c r="D10" s="330">
        <v>189.65936935085625</v>
      </c>
      <c r="E10" s="196">
        <f>ROUND(C10*$F$6,0)</f>
        <v>174</v>
      </c>
      <c r="F10" s="196">
        <f t="shared" ref="F10" si="0">ROUND(D10*$F$6,0)</f>
        <v>211</v>
      </c>
      <c r="G10" s="216"/>
      <c r="H10" s="216"/>
      <c r="I10" s="364">
        <f>'расчет по учреждениям'!R98</f>
        <v>177.21115208597652</v>
      </c>
      <c r="J10" s="364">
        <f>'расчет по учреждениям'!S98</f>
        <v>215.77575440668238</v>
      </c>
      <c r="K10" s="367">
        <f>I10/C10*100</f>
        <v>113.47165203946756</v>
      </c>
      <c r="L10" s="367">
        <f>J10/D10*100</f>
        <v>113.77015285098449</v>
      </c>
      <c r="M10" s="367">
        <f>I10-C10</f>
        <v>21.038972602470665</v>
      </c>
      <c r="N10" s="367">
        <f>J10-D10</f>
        <v>26.116385055826129</v>
      </c>
      <c r="O10" s="370">
        <v>133.94875946940155</v>
      </c>
      <c r="P10" s="370">
        <v>167.43594933675195</v>
      </c>
      <c r="Q10" s="312">
        <f>'расчет по учреждениям'!G98</f>
        <v>154.25840928282352</v>
      </c>
      <c r="R10" s="312">
        <f>'расчет по учреждениям'!K96</f>
        <v>192.82301160352938</v>
      </c>
      <c r="S10" s="209">
        <f>Q10/O10*100</f>
        <v>115.16225300918997</v>
      </c>
      <c r="T10" s="209">
        <f>R10/P10*100</f>
        <v>115.16225300918994</v>
      </c>
      <c r="U10" s="209">
        <f>Q10-O10</f>
        <v>20.30964981342197</v>
      </c>
      <c r="V10" s="209">
        <f>R10-P10</f>
        <v>25.387062266777434</v>
      </c>
      <c r="W10" s="209">
        <v>22.223420014104313</v>
      </c>
      <c r="X10" s="209">
        <f>W10</f>
        <v>22.223420014104313</v>
      </c>
      <c r="Y10" s="342">
        <f>'расчет по учреждениям'!Q98</f>
        <v>22.952742803153011</v>
      </c>
      <c r="Z10" s="342">
        <f>Y10</f>
        <v>22.952742803153011</v>
      </c>
      <c r="AA10" s="209">
        <f>Y10/W10*100</f>
        <v>103.28177566092809</v>
      </c>
      <c r="AB10" s="209">
        <f>Y10-W10</f>
        <v>0.72932278904869818</v>
      </c>
      <c r="AC10" s="209">
        <f>C10+C10*18.5%</f>
        <v>185.06403268795444</v>
      </c>
      <c r="AD10" s="209">
        <f>D10+D10*18.5%</f>
        <v>224.74635268076466</v>
      </c>
      <c r="AE10" s="209">
        <f>AC10/C10*100</f>
        <v>118.5</v>
      </c>
      <c r="AF10" s="209">
        <f>AD10/D10*100</f>
        <v>118.5</v>
      </c>
      <c r="AG10" s="209">
        <f>AC10-C10</f>
        <v>28.89185320444858</v>
      </c>
      <c r="AH10" s="209">
        <f>AD10-D10</f>
        <v>35.086983329908406</v>
      </c>
      <c r="AI10" s="209">
        <f>'расчет по учреждениям'!AJ98</f>
        <v>0</v>
      </c>
    </row>
    <row r="11" spans="1:35" ht="14.45" customHeight="1" x14ac:dyDescent="0.25">
      <c r="A11" s="196">
        <v>2</v>
      </c>
      <c r="B11" s="197" t="s">
        <v>255</v>
      </c>
      <c r="C11" s="330">
        <v>156.17217948350586</v>
      </c>
      <c r="D11" s="330">
        <v>189.65936935085625</v>
      </c>
      <c r="E11" s="196"/>
      <c r="F11" s="196"/>
      <c r="G11" s="216"/>
      <c r="H11" s="216"/>
      <c r="I11" s="364">
        <f>'расчет по учреждениям'!R97</f>
        <v>177.21115208597652</v>
      </c>
      <c r="J11" s="364">
        <f>'расчет по учреждениям'!S97</f>
        <v>215.77575440668238</v>
      </c>
      <c r="K11" s="367">
        <f t="shared" ref="K11:L38" si="1">I11/C11*100</f>
        <v>113.47165203946756</v>
      </c>
      <c r="L11" s="367">
        <f t="shared" ref="L11:L34" si="2">J11/D11*100</f>
        <v>113.77015285098449</v>
      </c>
      <c r="M11" s="367">
        <f t="shared" ref="M11:M34" si="3">I11-C11</f>
        <v>21.038972602470665</v>
      </c>
      <c r="N11" s="367">
        <f t="shared" ref="N11:N34" si="4">J11-D11</f>
        <v>26.116385055826129</v>
      </c>
      <c r="O11" s="370">
        <v>133.94875946940155</v>
      </c>
      <c r="P11" s="370">
        <v>167.43594933675195</v>
      </c>
      <c r="Q11" s="312">
        <f>'расчет по учреждениям'!G97</f>
        <v>154.25840928282352</v>
      </c>
      <c r="R11" s="312">
        <f>'расчет по учреждениям'!K98</f>
        <v>192.82301160352938</v>
      </c>
      <c r="S11" s="209">
        <f t="shared" ref="S11:S45" si="5">Q11/O11*100</f>
        <v>115.16225300918997</v>
      </c>
      <c r="T11" s="209">
        <f t="shared" ref="T11:T45" si="6">R11/P11*100</f>
        <v>115.16225300918994</v>
      </c>
      <c r="U11" s="209">
        <f t="shared" ref="U11:U34" si="7">Q11-O11</f>
        <v>20.30964981342197</v>
      </c>
      <c r="V11" s="209">
        <f t="shared" ref="V11:V34" si="8">R11-P11</f>
        <v>25.387062266777434</v>
      </c>
      <c r="W11" s="209">
        <v>22.223420014104313</v>
      </c>
      <c r="X11" s="209">
        <f t="shared" ref="X11:X34" si="9">W11</f>
        <v>22.223420014104313</v>
      </c>
      <c r="Y11" s="342">
        <f>'расчет по учреждениям'!Q97</f>
        <v>22.952742803153011</v>
      </c>
      <c r="Z11" s="342">
        <f t="shared" ref="Z11:Z34" si="10">Y11</f>
        <v>22.952742803153011</v>
      </c>
      <c r="AA11" s="209">
        <f t="shared" ref="AA11:AA44" si="11">Y11/W11*100</f>
        <v>103.28177566092809</v>
      </c>
      <c r="AB11" s="209">
        <f t="shared" ref="AB11:AB44" si="12">Y11-W11</f>
        <v>0.72932278904869818</v>
      </c>
      <c r="AC11" s="209">
        <f t="shared" ref="AC11:AC44" si="13">C11+C11*18.5%</f>
        <v>185.06403268795444</v>
      </c>
      <c r="AD11" s="209">
        <f t="shared" ref="AD11:AD44" si="14">D11+D11*18.5%</f>
        <v>224.74635268076466</v>
      </c>
      <c r="AE11" s="209">
        <f t="shared" ref="AE11:AE44" si="15">AC11/C11*100</f>
        <v>118.5</v>
      </c>
      <c r="AF11" s="209">
        <f t="shared" ref="AF11:AF44" si="16">AD11/D11*100</f>
        <v>118.5</v>
      </c>
      <c r="AG11" s="209">
        <f t="shared" ref="AG11:AG44" si="17">AC11-C11</f>
        <v>28.89185320444858</v>
      </c>
      <c r="AH11" s="209">
        <f t="shared" ref="AH11:AH44" si="18">AD11-D11</f>
        <v>35.086983329908406</v>
      </c>
    </row>
    <row r="12" spans="1:35" x14ac:dyDescent="0.25">
      <c r="A12" s="196">
        <v>3</v>
      </c>
      <c r="B12" s="197" t="s">
        <v>256</v>
      </c>
      <c r="C12" s="330">
        <v>134.77443918690571</v>
      </c>
      <c r="D12" s="330">
        <v>164.54083018010601</v>
      </c>
      <c r="E12" s="196"/>
      <c r="F12" s="196"/>
      <c r="G12" s="216"/>
      <c r="H12" s="216"/>
      <c r="I12" s="364">
        <f>'расчет по учреждениям'!R85</f>
        <v>155.92236284593491</v>
      </c>
      <c r="J12" s="364">
        <f>'расчет по учреждениям'!S85</f>
        <v>190.20200935322902</v>
      </c>
      <c r="K12" s="367">
        <f t="shared" ref="K12:K19" si="19">I12/C12*100</f>
        <v>115.69134606429428</v>
      </c>
      <c r="L12" s="367">
        <f t="shared" ref="L12:L19" si="20">J12/D12*100</f>
        <v>115.595630060353</v>
      </c>
      <c r="M12" s="367">
        <f t="shared" si="3"/>
        <v>21.147923659029203</v>
      </c>
      <c r="N12" s="367">
        <f t="shared" si="4"/>
        <v>25.661179173123003</v>
      </c>
      <c r="O12" s="370">
        <v>119.0655639728014</v>
      </c>
      <c r="P12" s="370">
        <v>148.83195496600172</v>
      </c>
      <c r="Q12" s="312">
        <f>'расчет по учреждениям'!G85</f>
        <v>137.11858602917647</v>
      </c>
      <c r="R12" s="312">
        <f>'расчет по учреждениям'!K85</f>
        <v>171.39823253647057</v>
      </c>
      <c r="S12" s="209">
        <f>Q12/O12*100</f>
        <v>115.16225300918997</v>
      </c>
      <c r="T12" s="209">
        <f t="shared" si="6"/>
        <v>115.16225300918997</v>
      </c>
      <c r="U12" s="209">
        <f>Q12-O12</f>
        <v>18.05302205637507</v>
      </c>
      <c r="V12" s="209">
        <f t="shared" si="8"/>
        <v>22.566277570468856</v>
      </c>
      <c r="W12" s="209">
        <v>15.70887521410431</v>
      </c>
      <c r="X12" s="209">
        <f t="shared" si="9"/>
        <v>15.70887521410431</v>
      </c>
      <c r="Y12" s="342">
        <f>'расчет по учреждениям'!Q85</f>
        <v>18.803776816758454</v>
      </c>
      <c r="Z12" s="342">
        <f t="shared" si="10"/>
        <v>18.803776816758454</v>
      </c>
      <c r="AA12" s="209">
        <f t="shared" si="11"/>
        <v>119.70161173522702</v>
      </c>
      <c r="AB12" s="209">
        <f t="shared" si="12"/>
        <v>3.0949016026541436</v>
      </c>
      <c r="AC12" s="209">
        <f t="shared" si="13"/>
        <v>159.70771043648327</v>
      </c>
      <c r="AD12" s="209">
        <f t="shared" si="14"/>
        <v>194.98088376342562</v>
      </c>
      <c r="AE12" s="209">
        <f t="shared" si="15"/>
        <v>118.5</v>
      </c>
      <c r="AF12" s="209">
        <f t="shared" si="16"/>
        <v>118.5</v>
      </c>
      <c r="AG12" s="209">
        <f t="shared" si="17"/>
        <v>24.933271249577558</v>
      </c>
      <c r="AH12" s="209">
        <f t="shared" si="18"/>
        <v>30.44005358331961</v>
      </c>
    </row>
    <row r="13" spans="1:35" x14ac:dyDescent="0.25">
      <c r="A13" s="196">
        <v>4</v>
      </c>
      <c r="B13" s="197" t="s">
        <v>257</v>
      </c>
      <c r="C13" s="330">
        <v>134.77443918690568</v>
      </c>
      <c r="D13" s="330">
        <v>164.54083018010601</v>
      </c>
      <c r="E13" s="196"/>
      <c r="F13" s="196"/>
      <c r="G13" s="216"/>
      <c r="H13" s="216"/>
      <c r="I13" s="364">
        <f>'расчет по учреждениям'!R58</f>
        <v>155.92236284593491</v>
      </c>
      <c r="J13" s="364">
        <f>'расчет по учреждениям'!S86</f>
        <v>190.20200935322902</v>
      </c>
      <c r="K13" s="367">
        <f t="shared" si="19"/>
        <v>115.69134606429429</v>
      </c>
      <c r="L13" s="367">
        <f>J13/D13*100</f>
        <v>115.595630060353</v>
      </c>
      <c r="M13" s="367">
        <f t="shared" si="3"/>
        <v>21.147923659029232</v>
      </c>
      <c r="N13" s="367">
        <f t="shared" si="4"/>
        <v>25.661179173123003</v>
      </c>
      <c r="O13" s="370">
        <v>119.06556397280139</v>
      </c>
      <c r="P13" s="370">
        <v>148.83195496600172</v>
      </c>
      <c r="Q13" s="312">
        <f>'расчет по учреждениям'!G58</f>
        <v>137.11858602917647</v>
      </c>
      <c r="R13" s="312">
        <f>'расчет по учреждениям'!K58</f>
        <v>171.39823253647057</v>
      </c>
      <c r="S13" s="209">
        <f t="shared" si="5"/>
        <v>115.16225300918997</v>
      </c>
      <c r="T13" s="209">
        <f t="shared" si="6"/>
        <v>115.16225300918997</v>
      </c>
      <c r="U13" s="209">
        <f t="shared" si="7"/>
        <v>18.053022056375085</v>
      </c>
      <c r="V13" s="209">
        <f t="shared" si="8"/>
        <v>22.566277570468856</v>
      </c>
      <c r="W13" s="209">
        <v>15.70887521410431</v>
      </c>
      <c r="X13" s="209">
        <f t="shared" si="9"/>
        <v>15.70887521410431</v>
      </c>
      <c r="Y13" s="342">
        <f>'расчет по учреждениям'!Q58</f>
        <v>18.803776816758454</v>
      </c>
      <c r="Z13" s="342">
        <f t="shared" si="10"/>
        <v>18.803776816758454</v>
      </c>
      <c r="AA13" s="209">
        <f t="shared" si="11"/>
        <v>119.70161173522702</v>
      </c>
      <c r="AB13" s="209">
        <f t="shared" si="12"/>
        <v>3.0949016026541436</v>
      </c>
      <c r="AC13" s="209">
        <f t="shared" si="13"/>
        <v>159.70771043648324</v>
      </c>
      <c r="AD13" s="209">
        <f t="shared" si="14"/>
        <v>194.98088376342562</v>
      </c>
      <c r="AE13" s="209">
        <f t="shared" si="15"/>
        <v>118.5</v>
      </c>
      <c r="AF13" s="209">
        <f t="shared" si="16"/>
        <v>118.5</v>
      </c>
      <c r="AG13" s="209">
        <f t="shared" si="17"/>
        <v>24.933271249577558</v>
      </c>
      <c r="AH13" s="209">
        <f t="shared" si="18"/>
        <v>30.44005358331961</v>
      </c>
    </row>
    <row r="14" spans="1:35" x14ac:dyDescent="0.25">
      <c r="A14" s="196">
        <v>5</v>
      </c>
      <c r="B14" s="197" t="s">
        <v>258</v>
      </c>
      <c r="C14" s="330">
        <v>156.17217948350586</v>
      </c>
      <c r="D14" s="330">
        <v>189.65936935085625</v>
      </c>
      <c r="E14" s="196"/>
      <c r="F14" s="196"/>
      <c r="G14" s="216"/>
      <c r="H14" s="216"/>
      <c r="I14" s="364">
        <f>'расчет по учреждениям'!R96</f>
        <v>177.21115208597652</v>
      </c>
      <c r="J14" s="364">
        <f>'расчет по учреждениям'!S96</f>
        <v>215.77575440668238</v>
      </c>
      <c r="K14" s="367">
        <f t="shared" si="19"/>
        <v>113.47165203946756</v>
      </c>
      <c r="L14" s="367">
        <f t="shared" si="20"/>
        <v>113.77015285098449</v>
      </c>
      <c r="M14" s="367">
        <f t="shared" si="3"/>
        <v>21.038972602470665</v>
      </c>
      <c r="N14" s="367">
        <f t="shared" si="4"/>
        <v>26.116385055826129</v>
      </c>
      <c r="O14" s="370">
        <v>133.94875946940155</v>
      </c>
      <c r="P14" s="370">
        <v>167.43594933675195</v>
      </c>
      <c r="Q14" s="312">
        <f>'расчет по учреждениям'!G96</f>
        <v>154.25840928282352</v>
      </c>
      <c r="R14" s="312">
        <f>'расчет по учреждениям'!K96</f>
        <v>192.82301160352938</v>
      </c>
      <c r="S14" s="209">
        <f t="shared" si="5"/>
        <v>115.16225300918997</v>
      </c>
      <c r="T14" s="209">
        <f t="shared" si="6"/>
        <v>115.16225300918994</v>
      </c>
      <c r="U14" s="209">
        <f t="shared" si="7"/>
        <v>20.30964981342197</v>
      </c>
      <c r="V14" s="209">
        <f t="shared" si="8"/>
        <v>25.387062266777434</v>
      </c>
      <c r="W14" s="209">
        <v>22.223420014104313</v>
      </c>
      <c r="X14" s="209">
        <f t="shared" si="9"/>
        <v>22.223420014104313</v>
      </c>
      <c r="Y14" s="342">
        <f>'расчет по учреждениям'!Q96</f>
        <v>22.952742803153011</v>
      </c>
      <c r="Z14" s="342">
        <f t="shared" si="10"/>
        <v>22.952742803153011</v>
      </c>
      <c r="AA14" s="209">
        <f t="shared" si="11"/>
        <v>103.28177566092809</v>
      </c>
      <c r="AB14" s="209">
        <f t="shared" si="12"/>
        <v>0.72932278904869818</v>
      </c>
      <c r="AC14" s="209">
        <f t="shared" si="13"/>
        <v>185.06403268795444</v>
      </c>
      <c r="AD14" s="209">
        <f t="shared" si="14"/>
        <v>224.74635268076466</v>
      </c>
      <c r="AE14" s="209">
        <f t="shared" si="15"/>
        <v>118.5</v>
      </c>
      <c r="AF14" s="209">
        <f t="shared" si="16"/>
        <v>118.5</v>
      </c>
      <c r="AG14" s="209">
        <f t="shared" si="17"/>
        <v>28.89185320444858</v>
      </c>
      <c r="AH14" s="209">
        <f t="shared" si="18"/>
        <v>35.086983329908406</v>
      </c>
    </row>
    <row r="15" spans="1:35" x14ac:dyDescent="0.25">
      <c r="A15" s="196">
        <v>6</v>
      </c>
      <c r="B15" s="197" t="s">
        <v>259</v>
      </c>
      <c r="C15" s="330">
        <v>134.77443918690571</v>
      </c>
      <c r="D15" s="330">
        <v>164.54083018010601</v>
      </c>
      <c r="E15" s="196"/>
      <c r="F15" s="196"/>
      <c r="G15" s="216"/>
      <c r="H15" s="216"/>
      <c r="I15" s="364">
        <f>'расчет по учреждениям'!R86</f>
        <v>155.92236284593491</v>
      </c>
      <c r="J15" s="364">
        <f>'расчет по учреждениям'!S86</f>
        <v>190.20200935322902</v>
      </c>
      <c r="K15" s="367">
        <f t="shared" si="19"/>
        <v>115.69134606429428</v>
      </c>
      <c r="L15" s="367">
        <f t="shared" si="20"/>
        <v>115.595630060353</v>
      </c>
      <c r="M15" s="367">
        <f t="shared" si="3"/>
        <v>21.147923659029203</v>
      </c>
      <c r="N15" s="367">
        <f t="shared" si="4"/>
        <v>25.661179173123003</v>
      </c>
      <c r="O15" s="370">
        <v>119.0655639728014</v>
      </c>
      <c r="P15" s="370">
        <v>148.83195496600172</v>
      </c>
      <c r="Q15" s="312">
        <f>'расчет по учреждениям'!G86</f>
        <v>137.11858602917647</v>
      </c>
      <c r="R15" s="312">
        <f>'расчет по учреждениям'!K86</f>
        <v>171.39823253647057</v>
      </c>
      <c r="S15" s="209">
        <f t="shared" si="5"/>
        <v>115.16225300918997</v>
      </c>
      <c r="T15" s="209">
        <f t="shared" si="6"/>
        <v>115.16225300918997</v>
      </c>
      <c r="U15" s="209">
        <f t="shared" si="7"/>
        <v>18.05302205637507</v>
      </c>
      <c r="V15" s="209">
        <f t="shared" si="8"/>
        <v>22.566277570468856</v>
      </c>
      <c r="W15" s="209">
        <v>15.70887521410431</v>
      </c>
      <c r="X15" s="209">
        <f t="shared" si="9"/>
        <v>15.70887521410431</v>
      </c>
      <c r="Y15" s="342">
        <f>'расчет по учреждениям'!Q86</f>
        <v>18.803776816758454</v>
      </c>
      <c r="Z15" s="342">
        <f t="shared" si="10"/>
        <v>18.803776816758454</v>
      </c>
      <c r="AA15" s="209">
        <f t="shared" si="11"/>
        <v>119.70161173522702</v>
      </c>
      <c r="AB15" s="209">
        <f t="shared" si="12"/>
        <v>3.0949016026541436</v>
      </c>
      <c r="AC15" s="209">
        <f t="shared" si="13"/>
        <v>159.70771043648327</v>
      </c>
      <c r="AD15" s="209">
        <f t="shared" si="14"/>
        <v>194.98088376342562</v>
      </c>
      <c r="AE15" s="209">
        <f t="shared" si="15"/>
        <v>118.5</v>
      </c>
      <c r="AF15" s="209">
        <f t="shared" si="16"/>
        <v>118.5</v>
      </c>
      <c r="AG15" s="209">
        <f t="shared" si="17"/>
        <v>24.933271249577558</v>
      </c>
      <c r="AH15" s="209">
        <f t="shared" si="18"/>
        <v>30.44005358331961</v>
      </c>
    </row>
    <row r="16" spans="1:35" x14ac:dyDescent="0.25">
      <c r="A16" s="196">
        <v>7</v>
      </c>
      <c r="B16" s="197" t="s">
        <v>260</v>
      </c>
      <c r="C16" s="330">
        <v>128.05947687881667</v>
      </c>
      <c r="D16" s="330">
        <v>154.51849109499474</v>
      </c>
      <c r="E16" s="196"/>
      <c r="F16" s="196"/>
      <c r="G16" s="216"/>
      <c r="H16" s="216"/>
      <c r="I16" s="364">
        <f>'расчет по учреждениям'!R29</f>
        <v>140.68696439824865</v>
      </c>
      <c r="J16" s="364">
        <f>'расчет по учреждениям'!S29</f>
        <v>171.15776129362118</v>
      </c>
      <c r="K16" s="367">
        <f>I16/C16*100</f>
        <v>109.86064274757379</v>
      </c>
      <c r="L16" s="367">
        <f>J16/D16*100</f>
        <v>110.76846536664466</v>
      </c>
      <c r="M16" s="367">
        <f t="shared" si="3"/>
        <v>12.62748751943198</v>
      </c>
      <c r="N16" s="367">
        <f t="shared" si="4"/>
        <v>16.639270198626434</v>
      </c>
      <c r="O16" s="370">
        <v>105.83605686471236</v>
      </c>
      <c r="P16" s="370">
        <v>132.29507108089044</v>
      </c>
      <c r="Q16" s="312">
        <f>'расчет по учреждениям'!G15</f>
        <v>121.88318758149019</v>
      </c>
      <c r="R16" s="312">
        <f>'расчет по учреждениям'!K15</f>
        <v>152.35398447686273</v>
      </c>
      <c r="S16" s="209">
        <f t="shared" si="5"/>
        <v>115.16225300918994</v>
      </c>
      <c r="T16" s="209">
        <f t="shared" si="6"/>
        <v>115.16225300918997</v>
      </c>
      <c r="U16" s="209">
        <f t="shared" si="7"/>
        <v>16.047130716777829</v>
      </c>
      <c r="V16" s="209">
        <f t="shared" si="8"/>
        <v>20.058913395972297</v>
      </c>
      <c r="W16" s="209">
        <v>22.223420014104313</v>
      </c>
      <c r="X16" s="209">
        <f t="shared" si="9"/>
        <v>22.223420014104313</v>
      </c>
      <c r="Y16" s="342">
        <f>'расчет по учреждениям'!Q15</f>
        <v>22.952742803153011</v>
      </c>
      <c r="Z16" s="342">
        <f t="shared" si="10"/>
        <v>22.952742803153011</v>
      </c>
      <c r="AA16" s="209">
        <f t="shared" si="11"/>
        <v>103.28177566092809</v>
      </c>
      <c r="AB16" s="209">
        <f t="shared" si="12"/>
        <v>0.72932278904869818</v>
      </c>
      <c r="AC16" s="209">
        <f t="shared" si="13"/>
        <v>151.75048010139776</v>
      </c>
      <c r="AD16" s="209">
        <f t="shared" si="14"/>
        <v>183.10441194756876</v>
      </c>
      <c r="AE16" s="209">
        <f t="shared" si="15"/>
        <v>118.5</v>
      </c>
      <c r="AF16" s="209">
        <f t="shared" si="16"/>
        <v>118.5</v>
      </c>
      <c r="AG16" s="209">
        <f t="shared" si="17"/>
        <v>23.691003222581088</v>
      </c>
      <c r="AH16" s="209">
        <f t="shared" si="18"/>
        <v>28.58592085257402</v>
      </c>
    </row>
    <row r="17" spans="1:34" x14ac:dyDescent="0.25">
      <c r="A17" s="196">
        <v>8</v>
      </c>
      <c r="B17" s="197" t="s">
        <v>261</v>
      </c>
      <c r="C17" s="330">
        <v>128.05947687881667</v>
      </c>
      <c r="D17" s="330">
        <v>154.51849109499474</v>
      </c>
      <c r="E17" s="196"/>
      <c r="F17" s="196"/>
      <c r="G17" s="216"/>
      <c r="H17" s="216"/>
      <c r="I17" s="364">
        <f>'расчет по учреждениям'!R16</f>
        <v>144.83593038464321</v>
      </c>
      <c r="J17" s="364">
        <f>'расчет по учреждениям'!S16</f>
        <v>175.30672728001574</v>
      </c>
      <c r="K17" s="367">
        <f t="shared" si="19"/>
        <v>113.10051697439165</v>
      </c>
      <c r="L17" s="367">
        <f t="shared" si="20"/>
        <v>113.45355888328008</v>
      </c>
      <c r="M17" s="367">
        <f t="shared" si="3"/>
        <v>16.776453505826538</v>
      </c>
      <c r="N17" s="367">
        <f t="shared" si="4"/>
        <v>20.788236185020992</v>
      </c>
      <c r="O17" s="370">
        <v>105.83605686471236</v>
      </c>
      <c r="P17" s="370">
        <v>132.29507108089044</v>
      </c>
      <c r="Q17" s="312">
        <f>'расчет по учреждениям'!G16</f>
        <v>121.88318758149019</v>
      </c>
      <c r="R17" s="312">
        <f>'расчет по учреждениям'!K16</f>
        <v>152.35398447686273</v>
      </c>
      <c r="S17" s="209">
        <f t="shared" si="5"/>
        <v>115.16225300918994</v>
      </c>
      <c r="T17" s="209">
        <f t="shared" si="6"/>
        <v>115.16225300918997</v>
      </c>
      <c r="U17" s="209">
        <f t="shared" si="7"/>
        <v>16.047130716777829</v>
      </c>
      <c r="V17" s="209">
        <f t="shared" si="8"/>
        <v>20.058913395972297</v>
      </c>
      <c r="W17" s="209">
        <v>22.223420014104313</v>
      </c>
      <c r="X17" s="209">
        <f t="shared" si="9"/>
        <v>22.223420014104313</v>
      </c>
      <c r="Y17" s="342">
        <f>'расчет по учреждениям'!Q16</f>
        <v>22.952742803153011</v>
      </c>
      <c r="Z17" s="342">
        <f t="shared" si="10"/>
        <v>22.952742803153011</v>
      </c>
      <c r="AA17" s="209">
        <f t="shared" si="11"/>
        <v>103.28177566092809</v>
      </c>
      <c r="AB17" s="209">
        <f t="shared" si="12"/>
        <v>0.72932278904869818</v>
      </c>
      <c r="AC17" s="209">
        <f t="shared" si="13"/>
        <v>151.75048010139776</v>
      </c>
      <c r="AD17" s="209">
        <f t="shared" si="14"/>
        <v>183.10441194756876</v>
      </c>
      <c r="AE17" s="209">
        <f t="shared" si="15"/>
        <v>118.5</v>
      </c>
      <c r="AF17" s="209">
        <f t="shared" si="16"/>
        <v>118.5</v>
      </c>
      <c r="AG17" s="209">
        <f t="shared" si="17"/>
        <v>23.691003222581088</v>
      </c>
      <c r="AH17" s="209">
        <f t="shared" si="18"/>
        <v>28.58592085257402</v>
      </c>
    </row>
    <row r="18" spans="1:34" x14ac:dyDescent="0.25">
      <c r="A18" s="196">
        <v>9</v>
      </c>
      <c r="B18" s="197" t="s">
        <v>262</v>
      </c>
      <c r="C18" s="330">
        <v>121.54493207881667</v>
      </c>
      <c r="D18" s="330">
        <v>148.00394629499476</v>
      </c>
      <c r="E18" s="196"/>
      <c r="F18" s="196"/>
      <c r="G18" s="216"/>
      <c r="H18" s="216"/>
      <c r="I18" s="364">
        <f>'расчет по учреждениям'!R29</f>
        <v>140.68696439824865</v>
      </c>
      <c r="J18" s="364">
        <f>'расчет по учреждениям'!S29</f>
        <v>171.15776129362118</v>
      </c>
      <c r="K18" s="367">
        <f t="shared" si="19"/>
        <v>115.74893497576615</v>
      </c>
      <c r="L18" s="367">
        <f t="shared" si="20"/>
        <v>115.64405245822114</v>
      </c>
      <c r="M18" s="367">
        <f t="shared" si="3"/>
        <v>19.142032319431976</v>
      </c>
      <c r="N18" s="367">
        <f t="shared" si="4"/>
        <v>23.153814998626416</v>
      </c>
      <c r="O18" s="370">
        <v>105.83605686471236</v>
      </c>
      <c r="P18" s="370">
        <v>132.29507108089044</v>
      </c>
      <c r="Q18" s="312">
        <f>'расчет по учреждениям'!G29</f>
        <v>121.88318758149019</v>
      </c>
      <c r="R18" s="345">
        <f>'расчет по учреждениям'!K29</f>
        <v>152.35398447686273</v>
      </c>
      <c r="S18" s="209">
        <f t="shared" si="5"/>
        <v>115.16225300918994</v>
      </c>
      <c r="T18" s="209">
        <f t="shared" si="6"/>
        <v>115.16225300918997</v>
      </c>
      <c r="U18" s="209">
        <f t="shared" si="7"/>
        <v>16.047130716777829</v>
      </c>
      <c r="V18" s="209">
        <f t="shared" si="8"/>
        <v>20.058913395972297</v>
      </c>
      <c r="W18" s="209">
        <v>15.71</v>
      </c>
      <c r="X18" s="209">
        <v>15.71</v>
      </c>
      <c r="Y18" s="342">
        <f>'расчет по учреждениям'!Q29</f>
        <v>18.803776816758454</v>
      </c>
      <c r="Z18" s="342">
        <f t="shared" si="10"/>
        <v>18.803776816758454</v>
      </c>
      <c r="AA18" s="209">
        <f t="shared" si="11"/>
        <v>119.69304148159424</v>
      </c>
      <c r="AB18" s="209">
        <f>Y18-W18</f>
        <v>3.093776816758453</v>
      </c>
      <c r="AC18" s="209">
        <f t="shared" si="13"/>
        <v>144.03074451339776</v>
      </c>
      <c r="AD18" s="209">
        <f t="shared" si="14"/>
        <v>175.3846763595688</v>
      </c>
      <c r="AE18" s="209">
        <f t="shared" si="15"/>
        <v>118.5</v>
      </c>
      <c r="AF18" s="209">
        <f t="shared" si="16"/>
        <v>118.5</v>
      </c>
      <c r="AG18" s="209">
        <f t="shared" si="17"/>
        <v>22.485812434581092</v>
      </c>
      <c r="AH18" s="209">
        <f t="shared" si="18"/>
        <v>27.380730064574038</v>
      </c>
    </row>
    <row r="19" spans="1:34" s="358" customFormat="1" ht="33" customHeight="1" x14ac:dyDescent="0.25">
      <c r="A19" s="347">
        <v>10</v>
      </c>
      <c r="B19" s="357" t="s">
        <v>91</v>
      </c>
      <c r="C19" s="330">
        <v>148</v>
      </c>
      <c r="D19" s="330">
        <v>181.08</v>
      </c>
      <c r="E19" s="347"/>
      <c r="F19" s="347"/>
      <c r="G19" s="218"/>
      <c r="H19" s="218"/>
      <c r="I19" s="313">
        <f>'расчет по учреждениям'!R67</f>
        <v>178.86267966096813</v>
      </c>
      <c r="J19" s="313">
        <f>'расчет по учреждениям'!S67</f>
        <v>216.9511757801838</v>
      </c>
      <c r="K19" s="368">
        <f t="shared" si="19"/>
        <v>120.85316193308657</v>
      </c>
      <c r="L19" s="368">
        <f t="shared" si="20"/>
        <v>119.80957354770476</v>
      </c>
      <c r="M19" s="367">
        <f t="shared" si="3"/>
        <v>30.862679660968126</v>
      </c>
      <c r="N19" s="367">
        <f t="shared" si="4"/>
        <v>35.87117578018379</v>
      </c>
      <c r="O19" s="371">
        <v>132.29507108089044</v>
      </c>
      <c r="P19" s="371">
        <v>165.36883885111303</v>
      </c>
      <c r="Q19" s="312">
        <f>'расчет по учреждениям'!G67</f>
        <v>152.35398447686273</v>
      </c>
      <c r="R19" s="312">
        <f>'расчет по учреждениям'!K67</f>
        <v>190.44248059607841</v>
      </c>
      <c r="S19" s="209">
        <f t="shared" si="5"/>
        <v>115.16225300918997</v>
      </c>
      <c r="T19" s="209">
        <f t="shared" si="6"/>
        <v>115.16225300918997</v>
      </c>
      <c r="U19" s="209">
        <f t="shared" si="7"/>
        <v>20.058913395972297</v>
      </c>
      <c r="V19" s="209">
        <f t="shared" si="8"/>
        <v>25.073641744965386</v>
      </c>
      <c r="W19" s="209">
        <v>23.47</v>
      </c>
      <c r="X19" s="209">
        <v>23.47</v>
      </c>
      <c r="Y19" s="342">
        <f>'расчет по учреждениям'!Q67</f>
        <v>26.508695184105395</v>
      </c>
      <c r="Z19" s="342">
        <f t="shared" si="10"/>
        <v>26.508695184105395</v>
      </c>
      <c r="AA19" s="209">
        <f t="shared" si="11"/>
        <v>112.94714607629058</v>
      </c>
      <c r="AB19" s="209">
        <f t="shared" si="12"/>
        <v>3.0386951841053964</v>
      </c>
      <c r="AC19" s="209">
        <f t="shared" si="13"/>
        <v>175.38</v>
      </c>
      <c r="AD19" s="209">
        <f t="shared" si="14"/>
        <v>214.57980000000001</v>
      </c>
      <c r="AE19" s="209">
        <f t="shared" si="15"/>
        <v>118.5</v>
      </c>
      <c r="AF19" s="209">
        <f t="shared" si="16"/>
        <v>118.5</v>
      </c>
      <c r="AG19" s="209">
        <f t="shared" si="17"/>
        <v>27.379999999999995</v>
      </c>
      <c r="AH19" s="209">
        <f t="shared" si="18"/>
        <v>33.499799999999993</v>
      </c>
    </row>
    <row r="20" spans="1:34" x14ac:dyDescent="0.25">
      <c r="A20" s="196">
        <v>11</v>
      </c>
      <c r="B20" s="197" t="s">
        <v>263</v>
      </c>
      <c r="C20" s="330">
        <v>134.77443918690571</v>
      </c>
      <c r="D20" s="330">
        <v>164.54083018010601</v>
      </c>
      <c r="E20" s="196"/>
      <c r="F20" s="196"/>
      <c r="G20" s="216"/>
      <c r="H20" s="216"/>
      <c r="I20" s="364">
        <f>'расчет по учреждениям'!R87</f>
        <v>155.92236284593491</v>
      </c>
      <c r="J20" s="364">
        <f>'расчет по учреждениям'!S87</f>
        <v>190.20200935322902</v>
      </c>
      <c r="K20" s="367">
        <f t="shared" si="1"/>
        <v>115.69134606429428</v>
      </c>
      <c r="L20" s="367">
        <f t="shared" si="2"/>
        <v>115.595630060353</v>
      </c>
      <c r="M20" s="367">
        <f t="shared" si="3"/>
        <v>21.147923659029203</v>
      </c>
      <c r="N20" s="367">
        <f t="shared" si="4"/>
        <v>25.661179173123003</v>
      </c>
      <c r="O20" s="370">
        <v>119.0655639728014</v>
      </c>
      <c r="P20" s="370">
        <v>148.83195496600172</v>
      </c>
      <c r="Q20" s="312">
        <f>'расчет по учреждениям'!G87</f>
        <v>137.11858602917647</v>
      </c>
      <c r="R20" s="312">
        <f>'расчет по учреждениям'!K87</f>
        <v>171.39823253647057</v>
      </c>
      <c r="S20" s="209">
        <f t="shared" si="5"/>
        <v>115.16225300918997</v>
      </c>
      <c r="T20" s="209">
        <f t="shared" si="6"/>
        <v>115.16225300918997</v>
      </c>
      <c r="U20" s="209">
        <f t="shared" si="7"/>
        <v>18.05302205637507</v>
      </c>
      <c r="V20" s="209">
        <f t="shared" si="8"/>
        <v>22.566277570468856</v>
      </c>
      <c r="W20" s="209">
        <v>15.70887521410431</v>
      </c>
      <c r="X20" s="209">
        <f t="shared" si="9"/>
        <v>15.70887521410431</v>
      </c>
      <c r="Y20" s="342">
        <f>'расчет по учреждениям'!Q87</f>
        <v>18.803776816758454</v>
      </c>
      <c r="Z20" s="342">
        <f t="shared" si="10"/>
        <v>18.803776816758454</v>
      </c>
      <c r="AA20" s="209">
        <f t="shared" si="11"/>
        <v>119.70161173522702</v>
      </c>
      <c r="AB20" s="209">
        <f t="shared" si="12"/>
        <v>3.0949016026541436</v>
      </c>
      <c r="AC20" s="209">
        <f t="shared" si="13"/>
        <v>159.70771043648327</v>
      </c>
      <c r="AD20" s="209">
        <f t="shared" si="14"/>
        <v>194.98088376342562</v>
      </c>
      <c r="AE20" s="209">
        <f t="shared" si="15"/>
        <v>118.5</v>
      </c>
      <c r="AF20" s="209">
        <f t="shared" si="16"/>
        <v>118.5</v>
      </c>
      <c r="AG20" s="209">
        <f t="shared" si="17"/>
        <v>24.933271249577558</v>
      </c>
      <c r="AH20" s="209">
        <f t="shared" si="18"/>
        <v>30.44005358331961</v>
      </c>
    </row>
    <row r="21" spans="1:34" x14ac:dyDescent="0.25">
      <c r="A21" s="196">
        <v>12</v>
      </c>
      <c r="B21" s="197" t="s">
        <v>264</v>
      </c>
      <c r="C21" s="330">
        <v>134.77443918690568</v>
      </c>
      <c r="D21" s="330">
        <v>164.54083018010601</v>
      </c>
      <c r="E21" s="196"/>
      <c r="F21" s="196"/>
      <c r="G21" s="216"/>
      <c r="H21" s="216"/>
      <c r="I21" s="364">
        <f>'расчет по учреждениям'!R57</f>
        <v>155.92236284593491</v>
      </c>
      <c r="J21" s="364">
        <f>'расчет по учреждениям'!S57</f>
        <v>190.20200935322902</v>
      </c>
      <c r="K21" s="367">
        <f t="shared" si="1"/>
        <v>115.69134606429429</v>
      </c>
      <c r="L21" s="367">
        <f t="shared" si="2"/>
        <v>115.595630060353</v>
      </c>
      <c r="M21" s="367">
        <f t="shared" si="3"/>
        <v>21.147923659029232</v>
      </c>
      <c r="N21" s="367">
        <f t="shared" si="4"/>
        <v>25.661179173123003</v>
      </c>
      <c r="O21" s="370">
        <v>119.06556397280139</v>
      </c>
      <c r="P21" s="370">
        <v>148.83195496600172</v>
      </c>
      <c r="Q21" s="312">
        <f>'расчет по учреждениям'!G57</f>
        <v>137.11858602917647</v>
      </c>
      <c r="R21" s="312">
        <f>'расчет по учреждениям'!K57</f>
        <v>171.39823253647057</v>
      </c>
      <c r="S21" s="209">
        <f t="shared" si="5"/>
        <v>115.16225300918997</v>
      </c>
      <c r="T21" s="209">
        <f t="shared" si="6"/>
        <v>115.16225300918997</v>
      </c>
      <c r="U21" s="209">
        <f t="shared" si="7"/>
        <v>18.053022056375085</v>
      </c>
      <c r="V21" s="209">
        <f t="shared" si="8"/>
        <v>22.566277570468856</v>
      </c>
      <c r="W21" s="209">
        <v>15.70887521410431</v>
      </c>
      <c r="X21" s="209">
        <f t="shared" si="9"/>
        <v>15.70887521410431</v>
      </c>
      <c r="Y21" s="342">
        <f>'расчет по учреждениям'!Q57</f>
        <v>18.803776816758454</v>
      </c>
      <c r="Z21" s="342">
        <f t="shared" si="10"/>
        <v>18.803776816758454</v>
      </c>
      <c r="AA21" s="209">
        <f t="shared" si="11"/>
        <v>119.70161173522702</v>
      </c>
      <c r="AB21" s="209">
        <f t="shared" si="12"/>
        <v>3.0949016026541436</v>
      </c>
      <c r="AC21" s="209">
        <f t="shared" si="13"/>
        <v>159.70771043648324</v>
      </c>
      <c r="AD21" s="209">
        <f t="shared" si="14"/>
        <v>194.98088376342562</v>
      </c>
      <c r="AE21" s="209">
        <f t="shared" si="15"/>
        <v>118.5</v>
      </c>
      <c r="AF21" s="209">
        <f t="shared" si="16"/>
        <v>118.5</v>
      </c>
      <c r="AG21" s="209">
        <f t="shared" si="17"/>
        <v>24.933271249577558</v>
      </c>
      <c r="AH21" s="209">
        <f t="shared" si="18"/>
        <v>30.44005358331961</v>
      </c>
    </row>
    <row r="22" spans="1:34" x14ac:dyDescent="0.25">
      <c r="A22" s="196">
        <v>13</v>
      </c>
      <c r="B22" s="197" t="s">
        <v>265</v>
      </c>
      <c r="C22" s="330">
        <v>121.54493207881667</v>
      </c>
      <c r="D22" s="330">
        <v>148.00394629499476</v>
      </c>
      <c r="E22" s="196"/>
      <c r="F22" s="196"/>
      <c r="G22" s="216"/>
      <c r="H22" s="216"/>
      <c r="I22" s="364">
        <f>'расчет по учреждениям'!R30</f>
        <v>140.68696439824865</v>
      </c>
      <c r="J22" s="364">
        <f>'расчет по учреждениям'!S30</f>
        <v>171.15776129362118</v>
      </c>
      <c r="K22" s="367">
        <f t="shared" si="1"/>
        <v>115.74893497576615</v>
      </c>
      <c r="L22" s="367">
        <f t="shared" si="2"/>
        <v>115.64405245822114</v>
      </c>
      <c r="M22" s="367">
        <f t="shared" si="3"/>
        <v>19.142032319431976</v>
      </c>
      <c r="N22" s="367">
        <f t="shared" si="4"/>
        <v>23.153814998626416</v>
      </c>
      <c r="O22" s="370">
        <v>105.83605686471236</v>
      </c>
      <c r="P22" s="370">
        <v>132.29507108089044</v>
      </c>
      <c r="Q22" s="312">
        <f>'расчет по учреждениям'!G30</f>
        <v>121.88318758149019</v>
      </c>
      <c r="R22" s="312">
        <f>'расчет по учреждениям'!K30</f>
        <v>152.35398447686273</v>
      </c>
      <c r="S22" s="209">
        <f t="shared" si="5"/>
        <v>115.16225300918994</v>
      </c>
      <c r="T22" s="209">
        <f t="shared" si="6"/>
        <v>115.16225300918997</v>
      </c>
      <c r="U22" s="209">
        <f t="shared" si="7"/>
        <v>16.047130716777829</v>
      </c>
      <c r="V22" s="209">
        <f t="shared" si="8"/>
        <v>20.058913395972297</v>
      </c>
      <c r="W22" s="209">
        <v>15.70887521410431</v>
      </c>
      <c r="X22" s="209">
        <f t="shared" si="9"/>
        <v>15.70887521410431</v>
      </c>
      <c r="Y22" s="342">
        <f>'расчет по учреждениям'!Q30</f>
        <v>18.803776816758454</v>
      </c>
      <c r="Z22" s="342">
        <f t="shared" si="10"/>
        <v>18.803776816758454</v>
      </c>
      <c r="AA22" s="209">
        <f t="shared" si="11"/>
        <v>119.70161173522702</v>
      </c>
      <c r="AB22" s="209">
        <f t="shared" si="12"/>
        <v>3.0949016026541436</v>
      </c>
      <c r="AC22" s="209">
        <f t="shared" si="13"/>
        <v>144.03074451339776</v>
      </c>
      <c r="AD22" s="209">
        <f t="shared" si="14"/>
        <v>175.3846763595688</v>
      </c>
      <c r="AE22" s="209">
        <f t="shared" si="15"/>
        <v>118.5</v>
      </c>
      <c r="AF22" s="209">
        <f t="shared" si="16"/>
        <v>118.5</v>
      </c>
      <c r="AG22" s="209">
        <f t="shared" si="17"/>
        <v>22.485812434581092</v>
      </c>
      <c r="AH22" s="209">
        <f t="shared" si="18"/>
        <v>27.380730064574038</v>
      </c>
    </row>
    <row r="23" spans="1:34" x14ac:dyDescent="0.25">
      <c r="A23" s="196">
        <v>14</v>
      </c>
      <c r="B23" s="197" t="s">
        <v>266</v>
      </c>
      <c r="C23" s="330">
        <v>121.54493207881667</v>
      </c>
      <c r="D23" s="330">
        <v>148.00394629499476</v>
      </c>
      <c r="E23" s="196"/>
      <c r="F23" s="196"/>
      <c r="G23" s="216"/>
      <c r="H23" s="216"/>
      <c r="I23" s="364">
        <f>'расчет по учреждениям'!R31</f>
        <v>140.68696439824865</v>
      </c>
      <c r="J23" s="364">
        <f>'расчет по учреждениям'!S31</f>
        <v>171.15776129362118</v>
      </c>
      <c r="K23" s="367">
        <f t="shared" si="1"/>
        <v>115.74893497576615</v>
      </c>
      <c r="L23" s="367">
        <f t="shared" si="2"/>
        <v>115.64405245822114</v>
      </c>
      <c r="M23" s="367">
        <f t="shared" si="3"/>
        <v>19.142032319431976</v>
      </c>
      <c r="N23" s="367">
        <f t="shared" si="4"/>
        <v>23.153814998626416</v>
      </c>
      <c r="O23" s="370">
        <v>105.83605686471236</v>
      </c>
      <c r="P23" s="370">
        <v>132.29507108089044</v>
      </c>
      <c r="Q23" s="312">
        <f>'расчет по учреждениям'!G31</f>
        <v>121.88318758149019</v>
      </c>
      <c r="R23" s="312">
        <f>'расчет по учреждениям'!K31</f>
        <v>152.35398447686273</v>
      </c>
      <c r="S23" s="209">
        <f t="shared" si="5"/>
        <v>115.16225300918994</v>
      </c>
      <c r="T23" s="209">
        <f t="shared" si="6"/>
        <v>115.16225300918997</v>
      </c>
      <c r="U23" s="209">
        <f t="shared" si="7"/>
        <v>16.047130716777829</v>
      </c>
      <c r="V23" s="209">
        <f t="shared" si="8"/>
        <v>20.058913395972297</v>
      </c>
      <c r="W23" s="209">
        <v>15.70887521410431</v>
      </c>
      <c r="X23" s="209">
        <f t="shared" si="9"/>
        <v>15.70887521410431</v>
      </c>
      <c r="Y23" s="342">
        <f>'расчет по учреждениям'!Q31</f>
        <v>18.803776816758454</v>
      </c>
      <c r="Z23" s="342">
        <f t="shared" si="10"/>
        <v>18.803776816758454</v>
      </c>
      <c r="AA23" s="209">
        <f t="shared" si="11"/>
        <v>119.70161173522702</v>
      </c>
      <c r="AB23" s="209">
        <f t="shared" si="12"/>
        <v>3.0949016026541436</v>
      </c>
      <c r="AC23" s="209">
        <f t="shared" si="13"/>
        <v>144.03074451339776</v>
      </c>
      <c r="AD23" s="209">
        <f t="shared" si="14"/>
        <v>175.3846763595688</v>
      </c>
      <c r="AE23" s="209">
        <f t="shared" si="15"/>
        <v>118.5</v>
      </c>
      <c r="AF23" s="209">
        <f t="shared" si="16"/>
        <v>118.5</v>
      </c>
      <c r="AG23" s="209">
        <f t="shared" si="17"/>
        <v>22.485812434581092</v>
      </c>
      <c r="AH23" s="209">
        <f t="shared" si="18"/>
        <v>27.380730064574038</v>
      </c>
    </row>
    <row r="24" spans="1:34" x14ac:dyDescent="0.25">
      <c r="A24" s="196">
        <v>15</v>
      </c>
      <c r="B24" s="343" t="s">
        <v>267</v>
      </c>
      <c r="C24" s="330">
        <v>128.05947687881667</v>
      </c>
      <c r="D24" s="330">
        <v>154.51849109499474</v>
      </c>
      <c r="E24" s="196"/>
      <c r="F24" s="196"/>
      <c r="G24" s="216"/>
      <c r="H24" s="216"/>
      <c r="I24" s="364">
        <f>'расчет по учреждениям'!R19</f>
        <v>144.83593038464321</v>
      </c>
      <c r="J24" s="364">
        <f>'расчет по учреждениям'!S19</f>
        <v>175.30672728001574</v>
      </c>
      <c r="K24" s="367">
        <f t="shared" si="1"/>
        <v>113.10051697439165</v>
      </c>
      <c r="L24" s="367">
        <f t="shared" si="2"/>
        <v>113.45355888328008</v>
      </c>
      <c r="M24" s="367">
        <f t="shared" si="3"/>
        <v>16.776453505826538</v>
      </c>
      <c r="N24" s="367">
        <f t="shared" si="4"/>
        <v>20.788236185020992</v>
      </c>
      <c r="O24" s="370">
        <v>105.83605686471236</v>
      </c>
      <c r="P24" s="370">
        <v>132.29507108089044</v>
      </c>
      <c r="Q24" s="312">
        <f>'расчет по учреждениям'!G19</f>
        <v>121.88318758149019</v>
      </c>
      <c r="R24" s="312">
        <f>'расчет по учреждениям'!K19</f>
        <v>152.35398447686273</v>
      </c>
      <c r="S24" s="209">
        <f t="shared" si="5"/>
        <v>115.16225300918994</v>
      </c>
      <c r="T24" s="209">
        <f t="shared" si="6"/>
        <v>115.16225300918997</v>
      </c>
      <c r="U24" s="209">
        <f t="shared" si="7"/>
        <v>16.047130716777829</v>
      </c>
      <c r="V24" s="209">
        <f t="shared" si="8"/>
        <v>20.058913395972297</v>
      </c>
      <c r="W24" s="209">
        <v>22.223420014104313</v>
      </c>
      <c r="X24" s="209">
        <f t="shared" si="9"/>
        <v>22.223420014104313</v>
      </c>
      <c r="Y24" s="342">
        <f>'расчет по учреждениям'!Q19</f>
        <v>22.952742803153011</v>
      </c>
      <c r="Z24" s="342">
        <f t="shared" si="10"/>
        <v>22.952742803153011</v>
      </c>
      <c r="AA24" s="209">
        <f t="shared" si="11"/>
        <v>103.28177566092809</v>
      </c>
      <c r="AB24" s="209">
        <f t="shared" si="12"/>
        <v>0.72932278904869818</v>
      </c>
      <c r="AC24" s="209">
        <f t="shared" si="13"/>
        <v>151.75048010139776</v>
      </c>
      <c r="AD24" s="209">
        <f t="shared" si="14"/>
        <v>183.10441194756876</v>
      </c>
      <c r="AE24" s="209">
        <f t="shared" si="15"/>
        <v>118.5</v>
      </c>
      <c r="AF24" s="209">
        <f t="shared" si="16"/>
        <v>118.5</v>
      </c>
      <c r="AG24" s="209">
        <f t="shared" si="17"/>
        <v>23.691003222581088</v>
      </c>
      <c r="AH24" s="209">
        <f t="shared" si="18"/>
        <v>28.58592085257402</v>
      </c>
    </row>
    <row r="25" spans="1:34" x14ac:dyDescent="0.25">
      <c r="A25" s="196">
        <v>16</v>
      </c>
      <c r="B25" s="197" t="s">
        <v>268</v>
      </c>
      <c r="C25" s="330">
        <v>128.05947687881667</v>
      </c>
      <c r="D25" s="330">
        <v>154.51849109499474</v>
      </c>
      <c r="E25" s="196"/>
      <c r="F25" s="196"/>
      <c r="G25" s="216"/>
      <c r="H25" s="216"/>
      <c r="I25" s="364">
        <f>'расчет по учреждениям'!R17</f>
        <v>144.83593038464321</v>
      </c>
      <c r="J25" s="364">
        <f>'расчет по учреждениям'!S17</f>
        <v>175.30672728001574</v>
      </c>
      <c r="K25" s="367">
        <f t="shared" si="1"/>
        <v>113.10051697439165</v>
      </c>
      <c r="L25" s="367">
        <f t="shared" si="2"/>
        <v>113.45355888328008</v>
      </c>
      <c r="M25" s="367">
        <f t="shared" si="3"/>
        <v>16.776453505826538</v>
      </c>
      <c r="N25" s="367">
        <f t="shared" si="4"/>
        <v>20.788236185020992</v>
      </c>
      <c r="O25" s="370">
        <v>105.83605686471236</v>
      </c>
      <c r="P25" s="370">
        <v>132.29507108089044</v>
      </c>
      <c r="Q25" s="312">
        <f>'расчет по учреждениям'!G17</f>
        <v>121.88318758149019</v>
      </c>
      <c r="R25" s="312">
        <f>'расчет по учреждениям'!K17</f>
        <v>152.35398447686273</v>
      </c>
      <c r="S25" s="209">
        <f t="shared" si="5"/>
        <v>115.16225300918994</v>
      </c>
      <c r="T25" s="209">
        <f t="shared" si="6"/>
        <v>115.16225300918997</v>
      </c>
      <c r="U25" s="209">
        <f t="shared" si="7"/>
        <v>16.047130716777829</v>
      </c>
      <c r="V25" s="209">
        <f t="shared" si="8"/>
        <v>20.058913395972297</v>
      </c>
      <c r="W25" s="209">
        <v>22.223420014104313</v>
      </c>
      <c r="X25" s="209">
        <f t="shared" si="9"/>
        <v>22.223420014104313</v>
      </c>
      <c r="Y25" s="342">
        <f>'расчет по учреждениям'!Q17</f>
        <v>22.952742803153011</v>
      </c>
      <c r="Z25" s="342">
        <f t="shared" si="10"/>
        <v>22.952742803153011</v>
      </c>
      <c r="AA25" s="209">
        <f t="shared" si="11"/>
        <v>103.28177566092809</v>
      </c>
      <c r="AB25" s="209">
        <f t="shared" si="12"/>
        <v>0.72932278904869818</v>
      </c>
      <c r="AC25" s="209">
        <f t="shared" si="13"/>
        <v>151.75048010139776</v>
      </c>
      <c r="AD25" s="209">
        <f t="shared" si="14"/>
        <v>183.10441194756876</v>
      </c>
      <c r="AE25" s="209">
        <f t="shared" si="15"/>
        <v>118.5</v>
      </c>
      <c r="AF25" s="209">
        <f t="shared" si="16"/>
        <v>118.5</v>
      </c>
      <c r="AG25" s="209">
        <f t="shared" si="17"/>
        <v>23.691003222581088</v>
      </c>
      <c r="AH25" s="209">
        <f t="shared" si="18"/>
        <v>28.58592085257402</v>
      </c>
    </row>
    <row r="26" spans="1:34" x14ac:dyDescent="0.25">
      <c r="A26" s="196">
        <v>17</v>
      </c>
      <c r="B26" s="197" t="s">
        <v>269</v>
      </c>
      <c r="C26" s="330">
        <v>128.05947687881667</v>
      </c>
      <c r="D26" s="330">
        <v>154.51849109499474</v>
      </c>
      <c r="E26" s="196"/>
      <c r="F26" s="196"/>
      <c r="G26" s="216"/>
      <c r="H26" s="216"/>
      <c r="I26" s="364">
        <f>'расчет по учреждениям'!R18</f>
        <v>144.83593038464321</v>
      </c>
      <c r="J26" s="364">
        <f>'расчет по учреждениям'!S18</f>
        <v>175.30672728001574</v>
      </c>
      <c r="K26" s="367">
        <f t="shared" si="1"/>
        <v>113.10051697439165</v>
      </c>
      <c r="L26" s="367">
        <f t="shared" si="2"/>
        <v>113.45355888328008</v>
      </c>
      <c r="M26" s="367">
        <f t="shared" si="3"/>
        <v>16.776453505826538</v>
      </c>
      <c r="N26" s="367">
        <f t="shared" si="4"/>
        <v>20.788236185020992</v>
      </c>
      <c r="O26" s="370">
        <v>105.83605686471236</v>
      </c>
      <c r="P26" s="370">
        <v>132.29507108089044</v>
      </c>
      <c r="Q26" s="312">
        <f>'расчет по учреждениям'!G18</f>
        <v>121.88318758149019</v>
      </c>
      <c r="R26" s="312">
        <f>'расчет по учреждениям'!K18</f>
        <v>152.35398447686273</v>
      </c>
      <c r="S26" s="209">
        <f t="shared" si="5"/>
        <v>115.16225300918994</v>
      </c>
      <c r="T26" s="209">
        <f t="shared" si="6"/>
        <v>115.16225300918997</v>
      </c>
      <c r="U26" s="209">
        <f t="shared" si="7"/>
        <v>16.047130716777829</v>
      </c>
      <c r="V26" s="209">
        <f t="shared" si="8"/>
        <v>20.058913395972297</v>
      </c>
      <c r="W26" s="209">
        <v>22.223420014104313</v>
      </c>
      <c r="X26" s="209">
        <f t="shared" si="9"/>
        <v>22.223420014104313</v>
      </c>
      <c r="Y26" s="342">
        <f>'расчет по учреждениям'!Q18</f>
        <v>22.952742803153011</v>
      </c>
      <c r="Z26" s="342">
        <f t="shared" si="10"/>
        <v>22.952742803153011</v>
      </c>
      <c r="AA26" s="209">
        <f t="shared" si="11"/>
        <v>103.28177566092809</v>
      </c>
      <c r="AB26" s="209">
        <f t="shared" si="12"/>
        <v>0.72932278904869818</v>
      </c>
      <c r="AC26" s="209">
        <f t="shared" si="13"/>
        <v>151.75048010139776</v>
      </c>
      <c r="AD26" s="209">
        <f t="shared" si="14"/>
        <v>183.10441194756876</v>
      </c>
      <c r="AE26" s="209">
        <f t="shared" si="15"/>
        <v>118.5</v>
      </c>
      <c r="AF26" s="209">
        <f t="shared" si="16"/>
        <v>118.5</v>
      </c>
      <c r="AG26" s="209">
        <f t="shared" si="17"/>
        <v>23.691003222581088</v>
      </c>
      <c r="AH26" s="209">
        <f t="shared" si="18"/>
        <v>28.58592085257402</v>
      </c>
    </row>
    <row r="27" spans="1:34" x14ac:dyDescent="0.25">
      <c r="A27" s="196">
        <v>18</v>
      </c>
      <c r="B27" s="197" t="s">
        <v>272</v>
      </c>
      <c r="C27" s="330">
        <v>128.05947687881667</v>
      </c>
      <c r="D27" s="330">
        <v>154.51849109499474</v>
      </c>
      <c r="E27" s="196"/>
      <c r="F27" s="196"/>
      <c r="G27" s="216"/>
      <c r="H27" s="216"/>
      <c r="I27" s="364">
        <f>'расчет по учреждениям'!R20</f>
        <v>144.83593038464321</v>
      </c>
      <c r="J27" s="364">
        <f>'расчет по учреждениям'!S20</f>
        <v>175.30672728001574</v>
      </c>
      <c r="K27" s="367">
        <f t="shared" si="1"/>
        <v>113.10051697439165</v>
      </c>
      <c r="L27" s="367">
        <f t="shared" si="2"/>
        <v>113.45355888328008</v>
      </c>
      <c r="M27" s="367">
        <f t="shared" si="3"/>
        <v>16.776453505826538</v>
      </c>
      <c r="N27" s="367">
        <f t="shared" si="4"/>
        <v>20.788236185020992</v>
      </c>
      <c r="O27" s="370">
        <v>105.83605686471236</v>
      </c>
      <c r="P27" s="370">
        <v>132.29507108089044</v>
      </c>
      <c r="Q27" s="312">
        <f>'расчет по учреждениям'!G20</f>
        <v>121.88318758149019</v>
      </c>
      <c r="R27" s="312">
        <f>'расчет по учреждениям'!K20</f>
        <v>152.35398447686273</v>
      </c>
      <c r="S27" s="209">
        <f t="shared" si="5"/>
        <v>115.16225300918994</v>
      </c>
      <c r="T27" s="209">
        <f t="shared" si="6"/>
        <v>115.16225300918997</v>
      </c>
      <c r="U27" s="209">
        <f t="shared" si="7"/>
        <v>16.047130716777829</v>
      </c>
      <c r="V27" s="209">
        <f t="shared" si="8"/>
        <v>20.058913395972297</v>
      </c>
      <c r="W27" s="209">
        <v>22.223420014104313</v>
      </c>
      <c r="X27" s="209">
        <f t="shared" si="9"/>
        <v>22.223420014104313</v>
      </c>
      <c r="Y27" s="342">
        <f>'расчет по учреждениям'!Q20</f>
        <v>22.952742803153011</v>
      </c>
      <c r="Z27" s="342">
        <f t="shared" si="10"/>
        <v>22.952742803153011</v>
      </c>
      <c r="AA27" s="209">
        <f t="shared" si="11"/>
        <v>103.28177566092809</v>
      </c>
      <c r="AB27" s="209">
        <f t="shared" si="12"/>
        <v>0.72932278904869818</v>
      </c>
      <c r="AC27" s="209">
        <f t="shared" si="13"/>
        <v>151.75048010139776</v>
      </c>
      <c r="AD27" s="209">
        <f t="shared" si="14"/>
        <v>183.10441194756876</v>
      </c>
      <c r="AE27" s="209">
        <f t="shared" si="15"/>
        <v>118.5</v>
      </c>
      <c r="AF27" s="209">
        <f t="shared" si="16"/>
        <v>118.5</v>
      </c>
      <c r="AG27" s="209">
        <f t="shared" si="17"/>
        <v>23.691003222581088</v>
      </c>
      <c r="AH27" s="209">
        <f t="shared" si="18"/>
        <v>28.58592085257402</v>
      </c>
    </row>
    <row r="28" spans="1:34" x14ac:dyDescent="0.25">
      <c r="A28" s="196">
        <v>19</v>
      </c>
      <c r="B28" s="197" t="s">
        <v>270</v>
      </c>
      <c r="C28" s="330">
        <v>121.54493207881667</v>
      </c>
      <c r="D28" s="330">
        <v>148.00394629499476</v>
      </c>
      <c r="E28" s="196"/>
      <c r="F28" s="196"/>
      <c r="G28" s="216"/>
      <c r="H28" s="216"/>
      <c r="I28" s="364">
        <f>'расчет по учреждениям'!R33</f>
        <v>140.68696439824865</v>
      </c>
      <c r="J28" s="364">
        <f>'расчет по учреждениям'!S33</f>
        <v>171.15776129362118</v>
      </c>
      <c r="K28" s="367">
        <f t="shared" si="1"/>
        <v>115.74893497576615</v>
      </c>
      <c r="L28" s="367">
        <f t="shared" si="2"/>
        <v>115.64405245822114</v>
      </c>
      <c r="M28" s="367">
        <f t="shared" si="3"/>
        <v>19.142032319431976</v>
      </c>
      <c r="N28" s="367">
        <f t="shared" si="4"/>
        <v>23.153814998626416</v>
      </c>
      <c r="O28" s="370">
        <v>105.83605686471236</v>
      </c>
      <c r="P28" s="370">
        <v>132.29507108089044</v>
      </c>
      <c r="Q28" s="312">
        <f>'расчет по учреждениям'!G33</f>
        <v>121.88318758149019</v>
      </c>
      <c r="R28" s="312">
        <f>'расчет по учреждениям'!K33</f>
        <v>152.35398447686273</v>
      </c>
      <c r="S28" s="209">
        <f t="shared" si="5"/>
        <v>115.16225300918994</v>
      </c>
      <c r="T28" s="209">
        <f t="shared" si="6"/>
        <v>115.16225300918997</v>
      </c>
      <c r="U28" s="209">
        <f t="shared" si="7"/>
        <v>16.047130716777829</v>
      </c>
      <c r="V28" s="209">
        <f t="shared" si="8"/>
        <v>20.058913395972297</v>
      </c>
      <c r="W28" s="209">
        <v>15.70887521410431</v>
      </c>
      <c r="X28" s="209">
        <f t="shared" si="9"/>
        <v>15.70887521410431</v>
      </c>
      <c r="Y28" s="342">
        <f>'расчет по учреждениям'!Q33</f>
        <v>18.803776816758454</v>
      </c>
      <c r="Z28" s="342">
        <f t="shared" si="10"/>
        <v>18.803776816758454</v>
      </c>
      <c r="AA28" s="209">
        <f t="shared" si="11"/>
        <v>119.70161173522702</v>
      </c>
      <c r="AB28" s="209">
        <f t="shared" si="12"/>
        <v>3.0949016026541436</v>
      </c>
      <c r="AC28" s="209">
        <f t="shared" si="13"/>
        <v>144.03074451339776</v>
      </c>
      <c r="AD28" s="209">
        <f t="shared" si="14"/>
        <v>175.3846763595688</v>
      </c>
      <c r="AE28" s="209">
        <f t="shared" si="15"/>
        <v>118.5</v>
      </c>
      <c r="AF28" s="209">
        <f t="shared" si="16"/>
        <v>118.5</v>
      </c>
      <c r="AG28" s="209">
        <f t="shared" si="17"/>
        <v>22.485812434581092</v>
      </c>
      <c r="AH28" s="209">
        <f t="shared" si="18"/>
        <v>27.380730064574038</v>
      </c>
    </row>
    <row r="29" spans="1:34" x14ac:dyDescent="0.25">
      <c r="A29" s="196">
        <v>20</v>
      </c>
      <c r="B29" s="197" t="s">
        <v>271</v>
      </c>
      <c r="C29" s="330">
        <v>121.54493207881667</v>
      </c>
      <c r="D29" s="330">
        <v>148.00394629499476</v>
      </c>
      <c r="E29" s="196"/>
      <c r="F29" s="196"/>
      <c r="G29" s="216"/>
      <c r="H29" s="216"/>
      <c r="I29" s="364">
        <f>'расчет по учреждениям'!R34</f>
        <v>140.68696439824865</v>
      </c>
      <c r="J29" s="364">
        <f>'расчет по учреждениям'!S34</f>
        <v>171.15776129362118</v>
      </c>
      <c r="K29" s="367">
        <f t="shared" si="1"/>
        <v>115.74893497576615</v>
      </c>
      <c r="L29" s="367">
        <f t="shared" si="2"/>
        <v>115.64405245822114</v>
      </c>
      <c r="M29" s="367">
        <f t="shared" si="3"/>
        <v>19.142032319431976</v>
      </c>
      <c r="N29" s="367">
        <f t="shared" si="4"/>
        <v>23.153814998626416</v>
      </c>
      <c r="O29" s="370">
        <v>105.83605686471236</v>
      </c>
      <c r="P29" s="370">
        <v>132.29507108089044</v>
      </c>
      <c r="Q29" s="312">
        <f>'расчет по учреждениям'!G34</f>
        <v>121.88318758149019</v>
      </c>
      <c r="R29" s="312">
        <f>'расчет по учреждениям'!K34</f>
        <v>152.35398447686273</v>
      </c>
      <c r="S29" s="209">
        <f t="shared" si="5"/>
        <v>115.16225300918994</v>
      </c>
      <c r="T29" s="209">
        <f t="shared" si="6"/>
        <v>115.16225300918997</v>
      </c>
      <c r="U29" s="209">
        <f t="shared" si="7"/>
        <v>16.047130716777829</v>
      </c>
      <c r="V29" s="209">
        <f t="shared" si="8"/>
        <v>20.058913395972297</v>
      </c>
      <c r="W29" s="209">
        <v>15.70887521410431</v>
      </c>
      <c r="X29" s="209">
        <f t="shared" si="9"/>
        <v>15.70887521410431</v>
      </c>
      <c r="Y29" s="342">
        <f>'расчет по учреждениям'!Q34</f>
        <v>18.803776816758454</v>
      </c>
      <c r="Z29" s="342">
        <f t="shared" si="10"/>
        <v>18.803776816758454</v>
      </c>
      <c r="AA29" s="209">
        <f t="shared" si="11"/>
        <v>119.70161173522702</v>
      </c>
      <c r="AB29" s="209">
        <f t="shared" si="12"/>
        <v>3.0949016026541436</v>
      </c>
      <c r="AC29" s="209">
        <f t="shared" si="13"/>
        <v>144.03074451339776</v>
      </c>
      <c r="AD29" s="209">
        <f t="shared" si="14"/>
        <v>175.3846763595688</v>
      </c>
      <c r="AE29" s="209">
        <f t="shared" si="15"/>
        <v>118.5</v>
      </c>
      <c r="AF29" s="209">
        <f t="shared" si="16"/>
        <v>118.5</v>
      </c>
      <c r="AG29" s="209">
        <f t="shared" si="17"/>
        <v>22.485812434581092</v>
      </c>
      <c r="AH29" s="209">
        <f t="shared" si="18"/>
        <v>27.380730064574038</v>
      </c>
    </row>
    <row r="30" spans="1:34" x14ac:dyDescent="0.25">
      <c r="A30" s="216">
        <v>21</v>
      </c>
      <c r="B30" s="217" t="s">
        <v>83</v>
      </c>
      <c r="C30" s="330">
        <v>121.54493207881667</v>
      </c>
      <c r="D30" s="330">
        <v>148.00394629499476</v>
      </c>
      <c r="E30" s="216"/>
      <c r="F30" s="216"/>
      <c r="G30" s="216"/>
      <c r="H30" s="216"/>
      <c r="I30" s="364">
        <f>'расчет по учреждениям'!R35</f>
        <v>140.68696439824865</v>
      </c>
      <c r="J30" s="364">
        <f>'расчет по учреждениям'!S35</f>
        <v>171.15776129362118</v>
      </c>
      <c r="K30" s="367">
        <f t="shared" si="1"/>
        <v>115.74893497576615</v>
      </c>
      <c r="L30" s="367">
        <f t="shared" si="2"/>
        <v>115.64405245822114</v>
      </c>
      <c r="M30" s="367">
        <f t="shared" si="3"/>
        <v>19.142032319431976</v>
      </c>
      <c r="N30" s="367">
        <f t="shared" si="4"/>
        <v>23.153814998626416</v>
      </c>
      <c r="O30" s="370">
        <v>105.83605686471236</v>
      </c>
      <c r="P30" s="370">
        <v>132.29507108089044</v>
      </c>
      <c r="Q30" s="313">
        <f>'расчет по учреждениям'!G35</f>
        <v>121.88318758149019</v>
      </c>
      <c r="R30" s="312">
        <f>'расчет по учреждениям'!K35</f>
        <v>152.35398447686273</v>
      </c>
      <c r="S30" s="209">
        <f t="shared" si="5"/>
        <v>115.16225300918994</v>
      </c>
      <c r="T30" s="209">
        <f t="shared" si="6"/>
        <v>115.16225300918997</v>
      </c>
      <c r="U30" s="209">
        <f t="shared" si="7"/>
        <v>16.047130716777829</v>
      </c>
      <c r="V30" s="209">
        <f t="shared" si="8"/>
        <v>20.058913395972297</v>
      </c>
      <c r="W30" s="209">
        <v>15.70887521410431</v>
      </c>
      <c r="X30" s="209">
        <f t="shared" si="9"/>
        <v>15.70887521410431</v>
      </c>
      <c r="Y30" s="342">
        <f>'расчет по учреждениям'!Q35</f>
        <v>18.803776816758454</v>
      </c>
      <c r="Z30" s="342">
        <f t="shared" si="10"/>
        <v>18.803776816758454</v>
      </c>
      <c r="AA30" s="209">
        <f t="shared" si="11"/>
        <v>119.70161173522702</v>
      </c>
      <c r="AB30" s="209">
        <f t="shared" si="12"/>
        <v>3.0949016026541436</v>
      </c>
      <c r="AC30" s="209">
        <f t="shared" si="13"/>
        <v>144.03074451339776</v>
      </c>
      <c r="AD30" s="209">
        <f t="shared" si="14"/>
        <v>175.3846763595688</v>
      </c>
      <c r="AE30" s="209">
        <f t="shared" si="15"/>
        <v>118.5</v>
      </c>
      <c r="AF30" s="209">
        <f t="shared" si="16"/>
        <v>118.5</v>
      </c>
      <c r="AG30" s="209">
        <f t="shared" si="17"/>
        <v>22.485812434581092</v>
      </c>
      <c r="AH30" s="209">
        <f t="shared" si="18"/>
        <v>27.380730064574038</v>
      </c>
    </row>
    <row r="31" spans="1:34" x14ac:dyDescent="0.25">
      <c r="A31" s="216">
        <v>22</v>
      </c>
      <c r="B31" s="217" t="s">
        <v>84</v>
      </c>
      <c r="C31" s="330">
        <v>121.54493207881667</v>
      </c>
      <c r="D31" s="330">
        <v>148.00394629499476</v>
      </c>
      <c r="E31" s="216"/>
      <c r="F31" s="216"/>
      <c r="G31" s="216"/>
      <c r="H31" s="216"/>
      <c r="I31" s="364">
        <f>'расчет по учреждениям'!R36</f>
        <v>140.68696439824865</v>
      </c>
      <c r="J31" s="364">
        <f>'расчет по учреждениям'!S36</f>
        <v>171.15776129362118</v>
      </c>
      <c r="K31" s="367">
        <f t="shared" si="1"/>
        <v>115.74893497576615</v>
      </c>
      <c r="L31" s="367">
        <f t="shared" si="2"/>
        <v>115.64405245822114</v>
      </c>
      <c r="M31" s="367">
        <f t="shared" si="3"/>
        <v>19.142032319431976</v>
      </c>
      <c r="N31" s="367">
        <f t="shared" si="4"/>
        <v>23.153814998626416</v>
      </c>
      <c r="O31" s="370">
        <v>105.83605686471236</v>
      </c>
      <c r="P31" s="370">
        <v>132.29507108089044</v>
      </c>
      <c r="Q31" s="313">
        <f>'расчет по учреждениям'!G36</f>
        <v>121.88318758149019</v>
      </c>
      <c r="R31" s="312">
        <f>'расчет по учреждениям'!K36</f>
        <v>152.35398447686273</v>
      </c>
      <c r="S31" s="209">
        <f t="shared" si="5"/>
        <v>115.16225300918994</v>
      </c>
      <c r="T31" s="209">
        <f t="shared" si="6"/>
        <v>115.16225300918997</v>
      </c>
      <c r="U31" s="209">
        <f t="shared" si="7"/>
        <v>16.047130716777829</v>
      </c>
      <c r="V31" s="209">
        <f t="shared" si="8"/>
        <v>20.058913395972297</v>
      </c>
      <c r="W31" s="209">
        <v>15.70887521410431</v>
      </c>
      <c r="X31" s="209">
        <f t="shared" si="9"/>
        <v>15.70887521410431</v>
      </c>
      <c r="Y31" s="342">
        <f>'расчет по учреждениям'!Q36</f>
        <v>18.803776816758454</v>
      </c>
      <c r="Z31" s="342">
        <f t="shared" si="10"/>
        <v>18.803776816758454</v>
      </c>
      <c r="AA31" s="209">
        <f t="shared" si="11"/>
        <v>119.70161173522702</v>
      </c>
      <c r="AB31" s="209">
        <f t="shared" si="12"/>
        <v>3.0949016026541436</v>
      </c>
      <c r="AC31" s="209">
        <f t="shared" si="13"/>
        <v>144.03074451339776</v>
      </c>
      <c r="AD31" s="209">
        <f t="shared" si="14"/>
        <v>175.3846763595688</v>
      </c>
      <c r="AE31" s="209">
        <f t="shared" si="15"/>
        <v>118.5</v>
      </c>
      <c r="AF31" s="209">
        <f t="shared" si="16"/>
        <v>118.5</v>
      </c>
      <c r="AG31" s="209">
        <f t="shared" si="17"/>
        <v>22.485812434581092</v>
      </c>
      <c r="AH31" s="209">
        <f t="shared" si="18"/>
        <v>27.380730064574038</v>
      </c>
    </row>
    <row r="32" spans="1:34" x14ac:dyDescent="0.25">
      <c r="A32" s="216">
        <v>23</v>
      </c>
      <c r="B32" s="217" t="s">
        <v>85</v>
      </c>
      <c r="C32" s="330">
        <v>121.54493207881667</v>
      </c>
      <c r="D32" s="330">
        <v>148.00394629499476</v>
      </c>
      <c r="E32" s="216"/>
      <c r="F32" s="216"/>
      <c r="G32" s="216"/>
      <c r="H32" s="216"/>
      <c r="I32" s="364">
        <f>'расчет по учреждениям'!R37</f>
        <v>140.68696439824865</v>
      </c>
      <c r="J32" s="364">
        <f>'расчет по учреждениям'!S37</f>
        <v>171.15776129362118</v>
      </c>
      <c r="K32" s="367">
        <f t="shared" si="1"/>
        <v>115.74893497576615</v>
      </c>
      <c r="L32" s="367">
        <f t="shared" si="2"/>
        <v>115.64405245822114</v>
      </c>
      <c r="M32" s="367">
        <f t="shared" si="3"/>
        <v>19.142032319431976</v>
      </c>
      <c r="N32" s="367">
        <f t="shared" si="4"/>
        <v>23.153814998626416</v>
      </c>
      <c r="O32" s="370">
        <v>105.83605686471236</v>
      </c>
      <c r="P32" s="370">
        <v>132.29507108089044</v>
      </c>
      <c r="Q32" s="313">
        <f>'расчет по учреждениям'!G37</f>
        <v>121.88318758149019</v>
      </c>
      <c r="R32" s="312">
        <f>'расчет по учреждениям'!K37</f>
        <v>152.35398447686273</v>
      </c>
      <c r="S32" s="209">
        <f t="shared" si="5"/>
        <v>115.16225300918994</v>
      </c>
      <c r="T32" s="209">
        <f t="shared" si="6"/>
        <v>115.16225300918997</v>
      </c>
      <c r="U32" s="209">
        <f t="shared" si="7"/>
        <v>16.047130716777829</v>
      </c>
      <c r="V32" s="209">
        <f t="shared" si="8"/>
        <v>20.058913395972297</v>
      </c>
      <c r="W32" s="209">
        <v>15.70887521410431</v>
      </c>
      <c r="X32" s="209">
        <f t="shared" si="9"/>
        <v>15.70887521410431</v>
      </c>
      <c r="Y32" s="342">
        <f>'расчет по учреждениям'!Q37</f>
        <v>18.803776816758454</v>
      </c>
      <c r="Z32" s="342">
        <f t="shared" si="10"/>
        <v>18.803776816758454</v>
      </c>
      <c r="AA32" s="209">
        <f t="shared" si="11"/>
        <v>119.70161173522702</v>
      </c>
      <c r="AB32" s="209">
        <f t="shared" si="12"/>
        <v>3.0949016026541436</v>
      </c>
      <c r="AC32" s="209">
        <f t="shared" si="13"/>
        <v>144.03074451339776</v>
      </c>
      <c r="AD32" s="209">
        <f t="shared" si="14"/>
        <v>175.3846763595688</v>
      </c>
      <c r="AE32" s="209">
        <f t="shared" si="15"/>
        <v>118.5</v>
      </c>
      <c r="AF32" s="209">
        <f t="shared" si="16"/>
        <v>118.5</v>
      </c>
      <c r="AG32" s="209">
        <f t="shared" si="17"/>
        <v>22.485812434581092</v>
      </c>
      <c r="AH32" s="209">
        <f t="shared" si="18"/>
        <v>27.380730064574038</v>
      </c>
    </row>
    <row r="33" spans="1:34" x14ac:dyDescent="0.25">
      <c r="A33" s="216">
        <v>24</v>
      </c>
      <c r="B33" s="217" t="s">
        <v>86</v>
      </c>
      <c r="C33" s="330">
        <v>121.54493207881667</v>
      </c>
      <c r="D33" s="330">
        <v>148.00394629499476</v>
      </c>
      <c r="E33" s="216"/>
      <c r="F33" s="216"/>
      <c r="G33" s="216"/>
      <c r="H33" s="216"/>
      <c r="I33" s="364">
        <f>'расчет по учреждениям'!R38</f>
        <v>140.68696439824865</v>
      </c>
      <c r="J33" s="364">
        <f>'расчет по учреждениям'!S38</f>
        <v>171.15776129362118</v>
      </c>
      <c r="K33" s="367">
        <f t="shared" si="1"/>
        <v>115.74893497576615</v>
      </c>
      <c r="L33" s="367">
        <f t="shared" si="2"/>
        <v>115.64405245822114</v>
      </c>
      <c r="M33" s="367">
        <f t="shared" si="3"/>
        <v>19.142032319431976</v>
      </c>
      <c r="N33" s="367">
        <f t="shared" si="4"/>
        <v>23.153814998626416</v>
      </c>
      <c r="O33" s="370">
        <v>105.83605686471236</v>
      </c>
      <c r="P33" s="370">
        <v>132.29507108089044</v>
      </c>
      <c r="Q33" s="313">
        <f>'расчет по учреждениям'!G38</f>
        <v>121.88318758149019</v>
      </c>
      <c r="R33" s="312">
        <f>'расчет по учреждениям'!K38</f>
        <v>152.35398447686273</v>
      </c>
      <c r="S33" s="209">
        <f t="shared" si="5"/>
        <v>115.16225300918994</v>
      </c>
      <c r="T33" s="209">
        <f t="shared" si="6"/>
        <v>115.16225300918997</v>
      </c>
      <c r="U33" s="209">
        <f t="shared" si="7"/>
        <v>16.047130716777829</v>
      </c>
      <c r="V33" s="209">
        <f t="shared" si="8"/>
        <v>20.058913395972297</v>
      </c>
      <c r="W33" s="209">
        <v>15.70887521410431</v>
      </c>
      <c r="X33" s="209">
        <f t="shared" si="9"/>
        <v>15.70887521410431</v>
      </c>
      <c r="Y33" s="342">
        <f>'расчет по учреждениям'!Q38</f>
        <v>18.803776816758454</v>
      </c>
      <c r="Z33" s="342">
        <f t="shared" si="10"/>
        <v>18.803776816758454</v>
      </c>
      <c r="AA33" s="209">
        <f t="shared" si="11"/>
        <v>119.70161173522702</v>
      </c>
      <c r="AB33" s="209">
        <f t="shared" si="12"/>
        <v>3.0949016026541436</v>
      </c>
      <c r="AC33" s="209">
        <f t="shared" si="13"/>
        <v>144.03074451339776</v>
      </c>
      <c r="AD33" s="209">
        <f t="shared" si="14"/>
        <v>175.3846763595688</v>
      </c>
      <c r="AE33" s="209">
        <f t="shared" si="15"/>
        <v>118.5</v>
      </c>
      <c r="AF33" s="209">
        <f t="shared" si="16"/>
        <v>118.5</v>
      </c>
      <c r="AG33" s="209">
        <f t="shared" si="17"/>
        <v>22.485812434581092</v>
      </c>
      <c r="AH33" s="209">
        <f t="shared" si="18"/>
        <v>27.380730064574038</v>
      </c>
    </row>
    <row r="34" spans="1:34" x14ac:dyDescent="0.25">
      <c r="A34" s="216">
        <v>25</v>
      </c>
      <c r="B34" s="217" t="s">
        <v>87</v>
      </c>
      <c r="C34" s="330">
        <v>121.54493207881667</v>
      </c>
      <c r="D34" s="330">
        <v>148.00394629499476</v>
      </c>
      <c r="E34" s="216"/>
      <c r="F34" s="216"/>
      <c r="G34" s="216"/>
      <c r="H34" s="216"/>
      <c r="I34" s="364">
        <f>'расчет по учреждениям'!R39</f>
        <v>140.68696439824865</v>
      </c>
      <c r="J34" s="364">
        <f>'расчет по учреждениям'!S39</f>
        <v>171.15776129362118</v>
      </c>
      <c r="K34" s="367">
        <f t="shared" si="1"/>
        <v>115.74893497576615</v>
      </c>
      <c r="L34" s="367">
        <f t="shared" si="2"/>
        <v>115.64405245822114</v>
      </c>
      <c r="M34" s="367">
        <f t="shared" si="3"/>
        <v>19.142032319431976</v>
      </c>
      <c r="N34" s="367">
        <f t="shared" si="4"/>
        <v>23.153814998626416</v>
      </c>
      <c r="O34" s="370">
        <v>105.83605686471236</v>
      </c>
      <c r="P34" s="370">
        <v>132.29507108089044</v>
      </c>
      <c r="Q34" s="313">
        <f>'расчет по учреждениям'!G39</f>
        <v>121.88318758149019</v>
      </c>
      <c r="R34" s="312">
        <f>'расчет по учреждениям'!K39</f>
        <v>152.35398447686273</v>
      </c>
      <c r="S34" s="209">
        <f t="shared" si="5"/>
        <v>115.16225300918994</v>
      </c>
      <c r="T34" s="209">
        <f t="shared" si="6"/>
        <v>115.16225300918997</v>
      </c>
      <c r="U34" s="209">
        <f t="shared" si="7"/>
        <v>16.047130716777829</v>
      </c>
      <c r="V34" s="209">
        <f t="shared" si="8"/>
        <v>20.058913395972297</v>
      </c>
      <c r="W34" s="209">
        <v>15.70887521410431</v>
      </c>
      <c r="X34" s="209">
        <f t="shared" si="9"/>
        <v>15.70887521410431</v>
      </c>
      <c r="Y34" s="342">
        <f>'расчет по учреждениям'!Q39</f>
        <v>18.803776816758454</v>
      </c>
      <c r="Z34" s="342">
        <f t="shared" si="10"/>
        <v>18.803776816758454</v>
      </c>
      <c r="AA34" s="209">
        <f t="shared" si="11"/>
        <v>119.70161173522702</v>
      </c>
      <c r="AB34" s="209">
        <f t="shared" si="12"/>
        <v>3.0949016026541436</v>
      </c>
      <c r="AC34" s="209">
        <f t="shared" si="13"/>
        <v>144.03074451339776</v>
      </c>
      <c r="AD34" s="209">
        <f t="shared" si="14"/>
        <v>175.3846763595688</v>
      </c>
      <c r="AE34" s="209">
        <f t="shared" si="15"/>
        <v>118.5</v>
      </c>
      <c r="AF34" s="209">
        <f t="shared" si="16"/>
        <v>118.5</v>
      </c>
      <c r="AG34" s="209">
        <f t="shared" si="17"/>
        <v>22.485812434581092</v>
      </c>
      <c r="AH34" s="209">
        <f t="shared" si="18"/>
        <v>27.380730064574038</v>
      </c>
    </row>
    <row r="35" spans="1:34" ht="43.5" customHeight="1" thickBot="1" x14ac:dyDescent="0.3">
      <c r="A35" s="511" t="s">
        <v>278</v>
      </c>
      <c r="B35" s="512"/>
      <c r="C35" s="331">
        <v>131.27859601168512</v>
      </c>
      <c r="D35" s="331">
        <v>159.50705680357015</v>
      </c>
      <c r="E35" s="216"/>
      <c r="F35" s="216"/>
      <c r="G35" s="216"/>
      <c r="H35" s="216"/>
      <c r="I35" s="331">
        <f t="shared" ref="I35:AH35" si="21">AVERAGE(I10:I34)</f>
        <v>150.47376841810095</v>
      </c>
      <c r="J35" s="331">
        <f t="shared" si="21"/>
        <v>182.98229985585149</v>
      </c>
      <c r="K35" s="331">
        <f t="shared" si="21"/>
        <v>114.90309703000615</v>
      </c>
      <c r="L35" s="331">
        <f t="shared" si="21"/>
        <v>114.9429986707072</v>
      </c>
      <c r="M35" s="331">
        <f>AVERAGE(M10:M34)</f>
        <v>19.505971760256422</v>
      </c>
      <c r="N35" s="331">
        <f>AVERAGE(N10:N34)</f>
        <v>23.785793116930918</v>
      </c>
      <c r="O35" s="331">
        <f>AVERAGE(O10:O34)</f>
        <v>112.91384316753997</v>
      </c>
      <c r="P35" s="331">
        <f t="shared" si="21"/>
        <v>141.14230395942499</v>
      </c>
      <c r="Q35" s="331">
        <f t="shared" si="21"/>
        <v>130.03412575100239</v>
      </c>
      <c r="R35" s="331">
        <f t="shared" si="21"/>
        <v>162.54265718875303</v>
      </c>
      <c r="S35" s="350">
        <f t="shared" si="21"/>
        <v>115.16225300918995</v>
      </c>
      <c r="T35" s="350">
        <f t="shared" si="21"/>
        <v>115.16225300918995</v>
      </c>
      <c r="U35" s="331">
        <f t="shared" si="21"/>
        <v>17.120282583462348</v>
      </c>
      <c r="V35" s="331">
        <f t="shared" si="21"/>
        <v>21.400353229327948</v>
      </c>
      <c r="W35" s="331">
        <f t="shared" si="21"/>
        <v>18.364601324975961</v>
      </c>
      <c r="X35" s="331">
        <f t="shared" si="21"/>
        <v>18.364601324975961</v>
      </c>
      <c r="Y35" s="331">
        <f t="shared" si="21"/>
        <v>20.605601306554366</v>
      </c>
      <c r="Z35" s="331">
        <f t="shared" si="21"/>
        <v>20.605601306554366</v>
      </c>
      <c r="AA35" s="331">
        <f t="shared" si="21"/>
        <v>113.51994931197662</v>
      </c>
      <c r="AB35" s="331">
        <f t="shared" si="21"/>
        <v>2.2409999815784061</v>
      </c>
      <c r="AC35" s="331">
        <f t="shared" si="21"/>
        <v>155.19683903954572</v>
      </c>
      <c r="AD35" s="331">
        <f t="shared" si="21"/>
        <v>188.64786048562084</v>
      </c>
      <c r="AE35" s="331">
        <f t="shared" si="21"/>
        <v>118.5</v>
      </c>
      <c r="AF35" s="331">
        <f t="shared" si="21"/>
        <v>118.5</v>
      </c>
      <c r="AG35" s="331">
        <f t="shared" si="21"/>
        <v>24.229042381701248</v>
      </c>
      <c r="AH35" s="331">
        <f t="shared" si="21"/>
        <v>29.451353746700288</v>
      </c>
    </row>
    <row r="36" spans="1:34" ht="17.25" customHeight="1" thickBot="1" x14ac:dyDescent="0.3">
      <c r="A36" s="214" t="s">
        <v>246</v>
      </c>
      <c r="B36" s="215"/>
      <c r="C36" s="215"/>
      <c r="D36" s="215"/>
      <c r="E36" s="215"/>
      <c r="F36" s="215"/>
      <c r="G36" s="215"/>
      <c r="H36" s="215"/>
      <c r="I36" s="314"/>
      <c r="J36" s="314"/>
      <c r="K36" s="215"/>
      <c r="L36" s="215"/>
      <c r="M36" s="215"/>
      <c r="N36" s="215"/>
      <c r="O36" s="215"/>
      <c r="P36" s="215"/>
      <c r="Q36" s="314"/>
      <c r="R36" s="315"/>
      <c r="S36" s="353"/>
      <c r="T36" s="353"/>
      <c r="U36" s="354"/>
      <c r="V36" s="354"/>
      <c r="W36" s="355"/>
      <c r="X36" s="355"/>
      <c r="Y36" s="356"/>
      <c r="Z36" s="356"/>
      <c r="AA36" s="353"/>
      <c r="AB36" s="353"/>
      <c r="AC36" s="209">
        <f t="shared" si="13"/>
        <v>0</v>
      </c>
      <c r="AD36" s="209">
        <f t="shared" si="14"/>
        <v>0</v>
      </c>
      <c r="AE36" s="209" t="e">
        <f t="shared" si="15"/>
        <v>#DIV/0!</v>
      </c>
      <c r="AF36" s="209" t="e">
        <f t="shared" si="16"/>
        <v>#DIV/0!</v>
      </c>
      <c r="AG36" s="209">
        <f t="shared" si="17"/>
        <v>0</v>
      </c>
      <c r="AH36" s="209">
        <f t="shared" si="18"/>
        <v>0</v>
      </c>
    </row>
    <row r="37" spans="1:34" ht="29.25" customHeight="1" x14ac:dyDescent="0.25">
      <c r="A37" s="198">
        <v>1</v>
      </c>
      <c r="B37" s="199" t="s">
        <v>228</v>
      </c>
      <c r="C37" s="348">
        <v>37.997177071781238</v>
      </c>
      <c r="D37" s="348">
        <v>45.934881336634675</v>
      </c>
      <c r="E37" s="360"/>
      <c r="F37" s="360"/>
      <c r="G37" s="361"/>
      <c r="H37" s="361"/>
      <c r="I37" s="365">
        <f>'кр-вр преб по учрежд'!R15</f>
        <v>43.946847851166631</v>
      </c>
      <c r="J37" s="365">
        <f>'кр-вр преб по учрежд'!S15</f>
        <v>53.088086919778391</v>
      </c>
      <c r="K37" s="362">
        <f>I37/C37*100</f>
        <v>115.6581915760367</v>
      </c>
      <c r="L37" s="362">
        <f t="shared" si="1"/>
        <v>115.57249169911054</v>
      </c>
      <c r="M37" s="376">
        <f>I37-C37</f>
        <v>5.9496707793853929</v>
      </c>
      <c r="N37" s="376">
        <f>J37-D37</f>
        <v>7.1532055831437162</v>
      </c>
      <c r="O37" s="372">
        <v>32</v>
      </c>
      <c r="P37" s="372">
        <v>40</v>
      </c>
      <c r="Q37" s="373">
        <f>'кр-вр преб по учрежд'!G15</f>
        <v>36.564956274447056</v>
      </c>
      <c r="R37" s="374">
        <f>'кр-вр преб по учрежд'!K15</f>
        <v>45.706195343058816</v>
      </c>
      <c r="S37" s="312">
        <f t="shared" si="5"/>
        <v>114.26548835764704</v>
      </c>
      <c r="T37" s="312">
        <f t="shared" si="6"/>
        <v>114.26548835764704</v>
      </c>
      <c r="U37" s="209">
        <f t="shared" ref="U37:V37" si="22">Q37-O37</f>
        <v>4.5649562744470558</v>
      </c>
      <c r="V37" s="209">
        <f t="shared" si="22"/>
        <v>5.7061953430588161</v>
      </c>
      <c r="W37" s="359">
        <v>6</v>
      </c>
      <c r="X37" s="359">
        <v>6</v>
      </c>
      <c r="Y37" s="342">
        <v>7</v>
      </c>
      <c r="Z37" s="342">
        <v>7</v>
      </c>
      <c r="AA37" s="209">
        <f t="shared" si="11"/>
        <v>116.66666666666667</v>
      </c>
      <c r="AB37" s="209">
        <f t="shared" si="12"/>
        <v>1</v>
      </c>
      <c r="AC37" s="209">
        <f t="shared" si="13"/>
        <v>45.026654830060764</v>
      </c>
      <c r="AD37" s="209">
        <f t="shared" si="14"/>
        <v>54.432834383912088</v>
      </c>
      <c r="AE37" s="209">
        <f t="shared" si="15"/>
        <v>118.49999999999999</v>
      </c>
      <c r="AF37" s="209">
        <f t="shared" si="16"/>
        <v>118.5</v>
      </c>
      <c r="AG37" s="209">
        <f t="shared" si="17"/>
        <v>7.0294777582795263</v>
      </c>
      <c r="AH37" s="209">
        <f t="shared" si="18"/>
        <v>8.497953047277413</v>
      </c>
    </row>
    <row r="38" spans="1:34" ht="30" x14ac:dyDescent="0.25">
      <c r="A38" s="198">
        <v>2</v>
      </c>
      <c r="B38" s="199" t="s">
        <v>247</v>
      </c>
      <c r="C38" s="349">
        <v>12.861113566412065</v>
      </c>
      <c r="D38" s="349">
        <v>14.514801954923195</v>
      </c>
      <c r="E38" s="360"/>
      <c r="F38" s="360"/>
      <c r="G38" s="361"/>
      <c r="H38" s="361"/>
      <c r="I38" s="365">
        <f>'кр-вр преб по учрежд'!R24</f>
        <v>14.999590800562714</v>
      </c>
      <c r="J38" s="365">
        <f>'кр-вр преб по учрежд'!S24</f>
        <v>16.904015606523497</v>
      </c>
      <c r="K38" s="362">
        <f t="shared" ref="K38:L44" si="23">I38/C38*100</f>
        <v>116.62746560092177</v>
      </c>
      <c r="L38" s="362">
        <f t="shared" si="1"/>
        <v>116.46053221408177</v>
      </c>
      <c r="M38" s="376">
        <f t="shared" ref="M38:M44" si="24">I38-C38</f>
        <v>2.1384772341506491</v>
      </c>
      <c r="N38" s="376">
        <f t="shared" ref="N38:N44" si="25">J38-D38</f>
        <v>2.3892136516003024</v>
      </c>
      <c r="O38" s="372">
        <v>7</v>
      </c>
      <c r="P38" s="372">
        <v>8</v>
      </c>
      <c r="Q38" s="373">
        <f>'кр-вр преб по учрежд'!G24</f>
        <v>7.6176992238431369</v>
      </c>
      <c r="R38" s="373">
        <f>'кр-вр преб по учрежд'!K24</f>
        <v>9.5221240298039209</v>
      </c>
      <c r="S38" s="312">
        <f>Q38/O38*100</f>
        <v>108.82427462633053</v>
      </c>
      <c r="T38" s="312">
        <f t="shared" si="6"/>
        <v>119.02655037254901</v>
      </c>
      <c r="U38" s="209">
        <f t="shared" ref="U38:U45" si="26">Q38-O38</f>
        <v>0.61769922384313691</v>
      </c>
      <c r="V38" s="209">
        <f t="shared" ref="V38:V45" si="27">R38-P38</f>
        <v>1.5221240298039209</v>
      </c>
      <c r="W38" s="359">
        <v>6</v>
      </c>
      <c r="X38" s="359">
        <f t="shared" ref="X38:X44" si="28">W38</f>
        <v>6</v>
      </c>
      <c r="Y38" s="342">
        <v>7</v>
      </c>
      <c r="Z38" s="342">
        <v>7</v>
      </c>
      <c r="AA38" s="209">
        <f t="shared" si="11"/>
        <v>116.66666666666667</v>
      </c>
      <c r="AB38" s="209">
        <f t="shared" si="12"/>
        <v>1</v>
      </c>
      <c r="AC38" s="209">
        <f t="shared" si="13"/>
        <v>15.240419576198297</v>
      </c>
      <c r="AD38" s="209">
        <f t="shared" si="14"/>
        <v>17.200040316583987</v>
      </c>
      <c r="AE38" s="209">
        <f t="shared" si="15"/>
        <v>118.5</v>
      </c>
      <c r="AF38" s="209">
        <f t="shared" si="16"/>
        <v>118.5</v>
      </c>
      <c r="AG38" s="209">
        <f t="shared" si="17"/>
        <v>2.379306009786232</v>
      </c>
      <c r="AH38" s="209">
        <f t="shared" si="18"/>
        <v>2.685238361660792</v>
      </c>
    </row>
    <row r="39" spans="1:34" ht="30" x14ac:dyDescent="0.25">
      <c r="A39" s="198">
        <v>3</v>
      </c>
      <c r="B39" s="199" t="s">
        <v>248</v>
      </c>
      <c r="C39" s="349">
        <v>52.549634890679187</v>
      </c>
      <c r="D39" s="349">
        <v>64.125453610257097</v>
      </c>
      <c r="E39" s="360"/>
      <c r="F39" s="360"/>
      <c r="G39" s="361"/>
      <c r="H39" s="361"/>
      <c r="I39" s="365">
        <f>'кр-вр преб по учрежд'!R33</f>
        <v>60.705786143621523</v>
      </c>
      <c r="J39" s="365">
        <f>'кр-вр преб по учрежд'!S33</f>
        <v>74.036759785347016</v>
      </c>
      <c r="K39" s="362">
        <f t="shared" si="23"/>
        <v>115.52085237111515</v>
      </c>
      <c r="L39" s="362">
        <f t="shared" si="23"/>
        <v>115.45611861918208</v>
      </c>
      <c r="M39" s="376">
        <f t="shared" si="24"/>
        <v>8.1561512529423368</v>
      </c>
      <c r="N39" s="376">
        <f t="shared" si="25"/>
        <v>9.9113061750899192</v>
      </c>
      <c r="O39" s="372">
        <v>46</v>
      </c>
      <c r="P39" s="372">
        <v>58</v>
      </c>
      <c r="Q39" s="373">
        <f>'кр-вр преб по учрежд'!G33</f>
        <v>53.323894566901949</v>
      </c>
      <c r="R39" s="373">
        <f>'кр-вр преб по учрежд'!K33</f>
        <v>66.654868208627434</v>
      </c>
      <c r="S39" s="312">
        <f t="shared" si="5"/>
        <v>115.92150992804771</v>
      </c>
      <c r="T39" s="312">
        <f t="shared" si="6"/>
        <v>114.92218656659902</v>
      </c>
      <c r="U39" s="209">
        <f>Q39-O39</f>
        <v>7.3238945669019486</v>
      </c>
      <c r="V39" s="209">
        <f t="shared" si="27"/>
        <v>8.654868208627434</v>
      </c>
      <c r="W39" s="359">
        <v>6</v>
      </c>
      <c r="X39" s="359">
        <f t="shared" si="28"/>
        <v>6</v>
      </c>
      <c r="Y39" s="342">
        <v>7</v>
      </c>
      <c r="Z39" s="342">
        <v>7</v>
      </c>
      <c r="AA39" s="209">
        <f t="shared" si="11"/>
        <v>116.66666666666667</v>
      </c>
      <c r="AB39" s="209">
        <f t="shared" si="12"/>
        <v>1</v>
      </c>
      <c r="AC39" s="209">
        <f t="shared" si="13"/>
        <v>62.271317345454833</v>
      </c>
      <c r="AD39" s="209">
        <f t="shared" si="14"/>
        <v>75.988662528154663</v>
      </c>
      <c r="AE39" s="209">
        <f t="shared" si="15"/>
        <v>118.49999999999999</v>
      </c>
      <c r="AF39" s="209">
        <f t="shared" si="16"/>
        <v>118.5</v>
      </c>
      <c r="AG39" s="209">
        <f t="shared" si="17"/>
        <v>9.721682454775646</v>
      </c>
      <c r="AH39" s="209">
        <f t="shared" si="18"/>
        <v>11.863208917897566</v>
      </c>
    </row>
    <row r="40" spans="1:34" ht="30" x14ac:dyDescent="0.25">
      <c r="A40" s="198">
        <v>4</v>
      </c>
      <c r="B40" s="199" t="s">
        <v>249</v>
      </c>
      <c r="C40" s="349">
        <v>22.121768542074392</v>
      </c>
      <c r="D40" s="349">
        <v>26.090620674501107</v>
      </c>
      <c r="E40" s="360"/>
      <c r="F40" s="360"/>
      <c r="G40" s="361"/>
      <c r="H40" s="361"/>
      <c r="I40" s="365">
        <f>'кр-вр преб по учрежд'!R42</f>
        <v>25.664369713943103</v>
      </c>
      <c r="J40" s="365">
        <f>'кр-вр преб по учрежд'!S42</f>
        <v>30.234989248248986</v>
      </c>
      <c r="K40" s="362">
        <f t="shared" si="23"/>
        <v>116.01409564127243</v>
      </c>
      <c r="L40" s="362">
        <f t="shared" si="23"/>
        <v>115.8845150732587</v>
      </c>
      <c r="M40" s="376">
        <f t="shared" si="24"/>
        <v>3.5426011718687107</v>
      </c>
      <c r="N40" s="376">
        <f t="shared" si="25"/>
        <v>4.1443685737478795</v>
      </c>
      <c r="O40" s="372">
        <v>16.2836</v>
      </c>
      <c r="P40" s="372">
        <v>20</v>
      </c>
      <c r="Q40" s="373">
        <f>'кр-вр преб по учрежд'!G42</f>
        <v>18.282478137223528</v>
      </c>
      <c r="R40" s="373">
        <f>'кр-вр преб по учрежд'!K42</f>
        <v>22.853097671529408</v>
      </c>
      <c r="S40" s="312">
        <f t="shared" si="5"/>
        <v>112.27540677260266</v>
      </c>
      <c r="T40" s="312">
        <f t="shared" si="6"/>
        <v>114.26548835764704</v>
      </c>
      <c r="U40" s="209">
        <f t="shared" si="26"/>
        <v>1.998878137223528</v>
      </c>
      <c r="V40" s="209">
        <f t="shared" si="27"/>
        <v>2.8530976715294081</v>
      </c>
      <c r="W40" s="359">
        <v>6</v>
      </c>
      <c r="X40" s="359">
        <f t="shared" si="28"/>
        <v>6</v>
      </c>
      <c r="Y40" s="342">
        <v>7</v>
      </c>
      <c r="Z40" s="342">
        <v>7</v>
      </c>
      <c r="AA40" s="209">
        <f>Y40/W40*100</f>
        <v>116.66666666666667</v>
      </c>
      <c r="AB40" s="209">
        <f t="shared" si="12"/>
        <v>1</v>
      </c>
      <c r="AC40" s="209">
        <f t="shared" si="13"/>
        <v>26.214295722358155</v>
      </c>
      <c r="AD40" s="209">
        <f t="shared" si="14"/>
        <v>30.91738549928381</v>
      </c>
      <c r="AE40" s="209">
        <f t="shared" si="15"/>
        <v>118.5</v>
      </c>
      <c r="AF40" s="209">
        <f t="shared" si="16"/>
        <v>118.5</v>
      </c>
      <c r="AG40" s="209">
        <f t="shared" si="17"/>
        <v>4.0925271802837635</v>
      </c>
      <c r="AH40" s="209">
        <f t="shared" si="18"/>
        <v>4.8267648247827033</v>
      </c>
    </row>
    <row r="41" spans="1:34" ht="30" x14ac:dyDescent="0.25">
      <c r="A41" s="198">
        <v>5</v>
      </c>
      <c r="B41" s="199" t="s">
        <v>250</v>
      </c>
      <c r="C41" s="349">
        <v>41.966029204207956</v>
      </c>
      <c r="D41" s="349">
        <v>50.895946502168059</v>
      </c>
      <c r="E41" s="360"/>
      <c r="F41" s="360"/>
      <c r="G41" s="361"/>
      <c r="H41" s="361"/>
      <c r="I41" s="365">
        <f>'кр-вр преб по учрежд'!R51</f>
        <v>48.517467385472507</v>
      </c>
      <c r="J41" s="365">
        <f>'кр-вр преб по учрежд'!S51</f>
        <v>58.801361337660737</v>
      </c>
      <c r="K41" s="362">
        <f t="shared" si="23"/>
        <v>115.61128919151503</v>
      </c>
      <c r="L41" s="362">
        <f t="shared" si="23"/>
        <v>115.53250382160773</v>
      </c>
      <c r="M41" s="376">
        <f t="shared" si="24"/>
        <v>6.551438181264551</v>
      </c>
      <c r="N41" s="376">
        <f t="shared" si="25"/>
        <v>7.9054148354926781</v>
      </c>
      <c r="O41" s="372">
        <v>36</v>
      </c>
      <c r="P41" s="372">
        <v>45</v>
      </c>
      <c r="Q41" s="373">
        <f>'кр-вр преб по учрежд'!G51</f>
        <v>41.135575808752932</v>
      </c>
      <c r="R41" s="373">
        <f>'кр-вр преб по учрежд'!K51</f>
        <v>51.419469760941162</v>
      </c>
      <c r="S41" s="312">
        <f t="shared" si="5"/>
        <v>114.26548835764703</v>
      </c>
      <c r="T41" s="312">
        <f t="shared" si="6"/>
        <v>114.26548835764703</v>
      </c>
      <c r="U41" s="209">
        <f t="shared" si="26"/>
        <v>5.1355758087529324</v>
      </c>
      <c r="V41" s="209">
        <f t="shared" si="27"/>
        <v>6.419469760941162</v>
      </c>
      <c r="W41" s="359">
        <v>6</v>
      </c>
      <c r="X41" s="359">
        <f t="shared" si="28"/>
        <v>6</v>
      </c>
      <c r="Y41" s="342">
        <v>7</v>
      </c>
      <c r="Z41" s="342">
        <v>7</v>
      </c>
      <c r="AA41" s="209">
        <f t="shared" si="11"/>
        <v>116.66666666666667</v>
      </c>
      <c r="AB41" s="209">
        <f t="shared" si="12"/>
        <v>1</v>
      </c>
      <c r="AC41" s="209">
        <f t="shared" si="13"/>
        <v>49.729744606986429</v>
      </c>
      <c r="AD41" s="209">
        <f t="shared" si="14"/>
        <v>60.311696605069152</v>
      </c>
      <c r="AE41" s="209">
        <f t="shared" si="15"/>
        <v>118.5</v>
      </c>
      <c r="AF41" s="209">
        <f t="shared" si="16"/>
        <v>118.5</v>
      </c>
      <c r="AG41" s="209">
        <f t="shared" si="17"/>
        <v>7.7637154027784732</v>
      </c>
      <c r="AH41" s="209">
        <f t="shared" si="18"/>
        <v>9.415750102901093</v>
      </c>
    </row>
    <row r="42" spans="1:34" ht="30" x14ac:dyDescent="0.25">
      <c r="A42" s="198">
        <v>6</v>
      </c>
      <c r="B42" s="199" t="s">
        <v>251</v>
      </c>
      <c r="C42" s="349">
        <v>13.687957760667629</v>
      </c>
      <c r="D42" s="349">
        <v>15.54835719774265</v>
      </c>
      <c r="E42" s="360"/>
      <c r="F42" s="360"/>
      <c r="G42" s="361"/>
      <c r="H42" s="361"/>
      <c r="I42" s="365">
        <f>'кр-вр преб по учрежд'!R60</f>
        <v>15.951803203543106</v>
      </c>
      <c r="J42" s="365">
        <f>'кр-вр преб по учрежд'!S60</f>
        <v>18.094281110248986</v>
      </c>
      <c r="K42" s="362">
        <f t="shared" si="23"/>
        <v>116.53895696099121</v>
      </c>
      <c r="L42" s="362">
        <f t="shared" si="23"/>
        <v>116.3742309243832</v>
      </c>
      <c r="M42" s="376">
        <f t="shared" si="24"/>
        <v>2.2638454428754766</v>
      </c>
      <c r="N42" s="376">
        <f t="shared" si="25"/>
        <v>2.5459239125063355</v>
      </c>
      <c r="O42" s="372">
        <v>7</v>
      </c>
      <c r="P42" s="372">
        <v>9</v>
      </c>
      <c r="Q42" s="373">
        <f>'кр-вр преб по учрежд'!G60</f>
        <v>8.5699116268235294</v>
      </c>
      <c r="R42" s="373">
        <f>'кр-вр преб по учрежд'!K60</f>
        <v>10.712389533529411</v>
      </c>
      <c r="S42" s="312">
        <f t="shared" si="5"/>
        <v>122.42730895462184</v>
      </c>
      <c r="T42" s="312">
        <f t="shared" si="6"/>
        <v>119.02655037254901</v>
      </c>
      <c r="U42" s="209">
        <f t="shared" si="26"/>
        <v>1.5699116268235294</v>
      </c>
      <c r="V42" s="209">
        <f t="shared" si="27"/>
        <v>1.7123895335294108</v>
      </c>
      <c r="W42" s="359">
        <v>6</v>
      </c>
      <c r="X42" s="359">
        <f t="shared" si="28"/>
        <v>6</v>
      </c>
      <c r="Y42" s="342">
        <v>7</v>
      </c>
      <c r="Z42" s="342">
        <v>7</v>
      </c>
      <c r="AA42" s="209">
        <f t="shared" si="11"/>
        <v>116.66666666666667</v>
      </c>
      <c r="AB42" s="209">
        <f t="shared" si="12"/>
        <v>1</v>
      </c>
      <c r="AC42" s="209">
        <f t="shared" si="13"/>
        <v>16.220229946391139</v>
      </c>
      <c r="AD42" s="209">
        <f t="shared" si="14"/>
        <v>18.42480327932504</v>
      </c>
      <c r="AE42" s="209">
        <f t="shared" si="15"/>
        <v>118.49999999999999</v>
      </c>
      <c r="AF42" s="209">
        <f t="shared" si="16"/>
        <v>118.5</v>
      </c>
      <c r="AG42" s="209">
        <f t="shared" si="17"/>
        <v>2.5322721857235102</v>
      </c>
      <c r="AH42" s="209">
        <f t="shared" si="18"/>
        <v>2.8764460815823902</v>
      </c>
    </row>
    <row r="43" spans="1:34" ht="30" x14ac:dyDescent="0.25">
      <c r="A43" s="198">
        <v>7</v>
      </c>
      <c r="B43" s="199" t="s">
        <v>252</v>
      </c>
      <c r="C43" s="349">
        <v>58.337544250468142</v>
      </c>
      <c r="D43" s="349">
        <v>71.36034030999329</v>
      </c>
      <c r="E43" s="360"/>
      <c r="F43" s="360"/>
      <c r="G43" s="361"/>
      <c r="H43" s="361"/>
      <c r="I43" s="365">
        <f>'кр-вр преб по учрежд'!R69</f>
        <v>67.371272964484277</v>
      </c>
      <c r="J43" s="365">
        <f>'кр-вр преб по учрежд'!S69</f>
        <v>82.36861831142545</v>
      </c>
      <c r="K43" s="362">
        <f t="shared" si="23"/>
        <v>115.48527424334225</v>
      </c>
      <c r="L43" s="362">
        <f t="shared" si="23"/>
        <v>115.42632497772796</v>
      </c>
      <c r="M43" s="376">
        <f t="shared" si="24"/>
        <v>9.0337287140161351</v>
      </c>
      <c r="N43" s="376">
        <f t="shared" si="25"/>
        <v>11.00827800143216</v>
      </c>
      <c r="O43" s="372">
        <v>52</v>
      </c>
      <c r="P43" s="372">
        <v>65</v>
      </c>
      <c r="Q43" s="373">
        <f>'кр-вр преб по учрежд'!G69</f>
        <v>59.989381387764695</v>
      </c>
      <c r="R43" s="373">
        <f>'кр-вр преб по учрежд'!K69</f>
        <v>74.986726734705869</v>
      </c>
      <c r="S43" s="312">
        <f t="shared" si="5"/>
        <v>115.36419497647057</v>
      </c>
      <c r="T43" s="312">
        <f t="shared" si="6"/>
        <v>115.36419497647057</v>
      </c>
      <c r="U43" s="209">
        <f t="shared" si="26"/>
        <v>7.9893813877646949</v>
      </c>
      <c r="V43" s="209">
        <f t="shared" si="27"/>
        <v>9.9867267347058686</v>
      </c>
      <c r="W43" s="359">
        <v>6</v>
      </c>
      <c r="X43" s="359">
        <f t="shared" si="28"/>
        <v>6</v>
      </c>
      <c r="Y43" s="342">
        <v>7</v>
      </c>
      <c r="Z43" s="342">
        <v>7</v>
      </c>
      <c r="AA43" s="209">
        <f t="shared" si="11"/>
        <v>116.66666666666667</v>
      </c>
      <c r="AB43" s="209">
        <f t="shared" si="12"/>
        <v>1</v>
      </c>
      <c r="AC43" s="209">
        <f t="shared" si="13"/>
        <v>69.129989936804748</v>
      </c>
      <c r="AD43" s="209">
        <f t="shared" si="14"/>
        <v>84.56200326734205</v>
      </c>
      <c r="AE43" s="209">
        <f t="shared" si="15"/>
        <v>118.5</v>
      </c>
      <c r="AF43" s="209">
        <f t="shared" si="16"/>
        <v>118.5</v>
      </c>
      <c r="AG43" s="209">
        <f t="shared" si="17"/>
        <v>10.792445686336606</v>
      </c>
      <c r="AH43" s="209">
        <f t="shared" si="18"/>
        <v>13.201662957348759</v>
      </c>
    </row>
    <row r="44" spans="1:34" ht="30" x14ac:dyDescent="0.25">
      <c r="A44" s="198">
        <v>8</v>
      </c>
      <c r="B44" s="199" t="s">
        <v>253</v>
      </c>
      <c r="C44" s="349">
        <v>24.106194608287748</v>
      </c>
      <c r="D44" s="349">
        <v>28.571153257267799</v>
      </c>
      <c r="E44" s="360"/>
      <c r="F44" s="360"/>
      <c r="G44" s="361"/>
      <c r="H44" s="361"/>
      <c r="I44" s="365">
        <f>'кр-вр преб по учрежд'!R78</f>
        <v>27.949679481096041</v>
      </c>
      <c r="J44" s="365">
        <f>'кр-вр преб по учрежд'!S78</f>
        <v>33.091626457190159</v>
      </c>
      <c r="K44" s="362">
        <f t="shared" si="23"/>
        <v>115.9439718099965</v>
      </c>
      <c r="L44" s="362">
        <f t="shared" si="23"/>
        <v>115.82180865860732</v>
      </c>
      <c r="M44" s="376">
        <f t="shared" si="24"/>
        <v>3.8434848728082933</v>
      </c>
      <c r="N44" s="376">
        <f t="shared" si="25"/>
        <v>4.5204731999223604</v>
      </c>
      <c r="O44" s="372">
        <v>17.742800000000003</v>
      </c>
      <c r="P44" s="372">
        <v>22</v>
      </c>
      <c r="Q44" s="373">
        <f>'кр-вр преб по учрежд'!G78</f>
        <v>20.567787904376466</v>
      </c>
      <c r="R44" s="373">
        <f>'кр-вр преб по учрежд'!K78</f>
        <v>25.709734880470581</v>
      </c>
      <c r="S44" s="312">
        <f t="shared" si="5"/>
        <v>115.9218832674463</v>
      </c>
      <c r="T44" s="312">
        <f t="shared" si="6"/>
        <v>116.86243127486628</v>
      </c>
      <c r="U44" s="209">
        <f t="shared" si="26"/>
        <v>2.8249879043764636</v>
      </c>
      <c r="V44" s="209">
        <f t="shared" si="27"/>
        <v>3.709734880470581</v>
      </c>
      <c r="W44" s="359">
        <v>6</v>
      </c>
      <c r="X44" s="359">
        <f t="shared" si="28"/>
        <v>6</v>
      </c>
      <c r="Y44" s="342">
        <v>7</v>
      </c>
      <c r="Z44" s="342">
        <v>7</v>
      </c>
      <c r="AA44" s="209">
        <f t="shared" si="11"/>
        <v>116.66666666666667</v>
      </c>
      <c r="AB44" s="209">
        <f t="shared" si="12"/>
        <v>1</v>
      </c>
      <c r="AC44" s="209">
        <f t="shared" si="13"/>
        <v>28.565840610820981</v>
      </c>
      <c r="AD44" s="209">
        <f t="shared" si="14"/>
        <v>33.856816609862342</v>
      </c>
      <c r="AE44" s="209">
        <f t="shared" si="15"/>
        <v>118.5</v>
      </c>
      <c r="AF44" s="209">
        <f t="shared" si="16"/>
        <v>118.5</v>
      </c>
      <c r="AG44" s="209">
        <f t="shared" si="17"/>
        <v>4.4596460025332334</v>
      </c>
      <c r="AH44" s="209">
        <f t="shared" si="18"/>
        <v>5.2856633525945433</v>
      </c>
    </row>
    <row r="45" spans="1:34" ht="43.5" customHeight="1" thickBot="1" x14ac:dyDescent="0.3">
      <c r="A45" s="511" t="s">
        <v>278</v>
      </c>
      <c r="B45" s="512"/>
      <c r="C45" s="350">
        <f t="shared" ref="C45:D45" si="29">AVERAGE(C37:C44)</f>
        <v>32.953427486822292</v>
      </c>
      <c r="D45" s="350">
        <f t="shared" si="29"/>
        <v>39.630194355435982</v>
      </c>
      <c r="E45" s="363"/>
      <c r="F45" s="363"/>
      <c r="G45" s="363"/>
      <c r="H45" s="363"/>
      <c r="I45" s="366">
        <f>AVERAGE(I37:I44)</f>
        <v>38.13835219298624</v>
      </c>
      <c r="J45" s="366">
        <f>AVERAGE(J37:J44)</f>
        <v>45.827467347052902</v>
      </c>
      <c r="K45" s="351">
        <f>AVERAGE(K37:K44)</f>
        <v>115.92501217439887</v>
      </c>
      <c r="L45" s="351">
        <f t="shared" ref="L45:N45" si="30">AVERAGE(L37:L44)</f>
        <v>115.81606574849491</v>
      </c>
      <c r="M45" s="377">
        <f t="shared" si="30"/>
        <v>5.1849247061639439</v>
      </c>
      <c r="N45" s="377">
        <f t="shared" si="30"/>
        <v>6.1972729916169182</v>
      </c>
      <c r="O45" s="375">
        <f t="shared" ref="O45:P45" si="31">AVERAGE(O37:O44)</f>
        <v>26.753300000000003</v>
      </c>
      <c r="P45" s="375">
        <f t="shared" si="31"/>
        <v>33.375</v>
      </c>
      <c r="Q45" s="374">
        <f>AVERAGE(Q37:Q44)</f>
        <v>30.756460616266661</v>
      </c>
      <c r="R45" s="374">
        <f t="shared" ref="R45:AH45" si="32">AVERAGE(R37:R44)</f>
        <v>38.445575770333328</v>
      </c>
      <c r="S45" s="312">
        <f t="shared" si="5"/>
        <v>114.96324048347925</v>
      </c>
      <c r="T45" s="312">
        <f t="shared" si="6"/>
        <v>115.19273639051184</v>
      </c>
      <c r="U45" s="209">
        <f t="shared" si="26"/>
        <v>4.0031606162666584</v>
      </c>
      <c r="V45" s="209">
        <f t="shared" si="27"/>
        <v>5.0705757703333276</v>
      </c>
      <c r="W45" s="352">
        <f t="shared" si="32"/>
        <v>6</v>
      </c>
      <c r="X45" s="352">
        <f t="shared" si="32"/>
        <v>6</v>
      </c>
      <c r="Y45" s="342">
        <v>7</v>
      </c>
      <c r="Z45" s="342">
        <v>7</v>
      </c>
      <c r="AA45" s="352">
        <f>AVERAGE(AA37:AA44)</f>
        <v>116.66666666666666</v>
      </c>
      <c r="AB45" s="352">
        <f t="shared" si="32"/>
        <v>1</v>
      </c>
      <c r="AC45" s="346">
        <f t="shared" si="32"/>
        <v>39.049811571884419</v>
      </c>
      <c r="AD45" s="346">
        <f t="shared" si="32"/>
        <v>46.961780311191646</v>
      </c>
      <c r="AE45" s="346">
        <f t="shared" si="32"/>
        <v>118.5</v>
      </c>
      <c r="AF45" s="346">
        <f t="shared" si="32"/>
        <v>118.5</v>
      </c>
      <c r="AG45" s="346">
        <f t="shared" si="32"/>
        <v>6.096384085062124</v>
      </c>
      <c r="AH45" s="346">
        <f t="shared" si="32"/>
        <v>7.3315859557556564</v>
      </c>
    </row>
  </sheetData>
  <mergeCells count="53">
    <mergeCell ref="Q8:Q9"/>
    <mergeCell ref="R8:R9"/>
    <mergeCell ref="A7:A9"/>
    <mergeCell ref="B7:B9"/>
    <mergeCell ref="C7:D7"/>
    <mergeCell ref="E7:F7"/>
    <mergeCell ref="Q7:R7"/>
    <mergeCell ref="C8:C9"/>
    <mergeCell ref="D8:D9"/>
    <mergeCell ref="E8:E9"/>
    <mergeCell ref="F8:F9"/>
    <mergeCell ref="G7:H7"/>
    <mergeCell ref="I7:J7"/>
    <mergeCell ref="K7:L7"/>
    <mergeCell ref="M7:N7"/>
    <mergeCell ref="O7:P7"/>
    <mergeCell ref="S8:S9"/>
    <mergeCell ref="T8:T9"/>
    <mergeCell ref="U8:U9"/>
    <mergeCell ref="V8:V9"/>
    <mergeCell ref="S7:T7"/>
    <mergeCell ref="U7:V7"/>
    <mergeCell ref="AA8:AA9"/>
    <mergeCell ref="AB8:AB9"/>
    <mergeCell ref="W7:X7"/>
    <mergeCell ref="Y7:Z7"/>
    <mergeCell ref="Y8:Y9"/>
    <mergeCell ref="Z8:Z9"/>
    <mergeCell ref="A45:B45"/>
    <mergeCell ref="AE4:AH4"/>
    <mergeCell ref="AG7:AH7"/>
    <mergeCell ref="AE7:AF7"/>
    <mergeCell ref="AC7:AD7"/>
    <mergeCell ref="A35:B35"/>
    <mergeCell ref="AC8:AC9"/>
    <mergeCell ref="AD8:AD9"/>
    <mergeCell ref="AE8:AE9"/>
    <mergeCell ref="AF8:AF9"/>
    <mergeCell ref="AG8:AG9"/>
    <mergeCell ref="AH8:AH9"/>
    <mergeCell ref="AA7:AB7"/>
    <mergeCell ref="W8:W9"/>
    <mergeCell ref="X8:X9"/>
    <mergeCell ref="G8:G9"/>
    <mergeCell ref="M8:M9"/>
    <mergeCell ref="N8:N9"/>
    <mergeCell ref="O8:O9"/>
    <mergeCell ref="P8:P9"/>
    <mergeCell ref="H8:H9"/>
    <mergeCell ref="I8:I9"/>
    <mergeCell ref="J8:J9"/>
    <mergeCell ref="K8:K9"/>
    <mergeCell ref="L8:L9"/>
  </mergeCells>
  <conditionalFormatting sqref="B10:B18 B20:B29">
    <cfRule type="cellIs" dxfId="0" priority="8" stopIfTrue="1" operator="equal">
      <formula>"ИТОГО"</formula>
    </cfRule>
  </conditionalFormatting>
  <pageMargins left="0.25" right="0.25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анализ продуктов</vt:lpstr>
      <vt:lpstr>от продуктов</vt:lpstr>
      <vt:lpstr>расчет по учреждениям</vt:lpstr>
      <vt:lpstr>присмотр МДОО</vt:lpstr>
      <vt:lpstr>присмотр гр КВП</vt:lpstr>
      <vt:lpstr>кр-вр преб по учрежд</vt:lpstr>
      <vt:lpstr>Анализ 2021 г.</vt:lpstr>
      <vt:lpstr>от индекса</vt:lpstr>
      <vt:lpstr>Анализ 2024</vt:lpstr>
      <vt:lpstr>'Анализ 2021 г.'!Область_печати</vt:lpstr>
      <vt:lpstr>'Анализ 2024'!Область_печати</vt:lpstr>
      <vt:lpstr>'от индекса'!Область_печати</vt:lpstr>
      <vt:lpstr>'присмотр МДОО'!Область_печати</vt:lpstr>
      <vt:lpstr>'расчет по учреждениям'!Область_печати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roo-anna</dc:creator>
  <cp:lastModifiedBy>Ирина Божеева</cp:lastModifiedBy>
  <cp:lastPrinted>2024-01-25T09:44:46Z</cp:lastPrinted>
  <dcterms:created xsi:type="dcterms:W3CDTF">2018-03-01T05:58:00Z</dcterms:created>
  <dcterms:modified xsi:type="dcterms:W3CDTF">2024-01-26T04:07:45Z</dcterms:modified>
</cp:coreProperties>
</file>